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ummer\Planning\documents\WordPress Uploads\"/>
    </mc:Choice>
  </mc:AlternateContent>
  <xr:revisionPtr revIDLastSave="0" documentId="13_ncr:1_{92F6A16F-4B11-4BCB-AE9D-A43BB7D448FC}" xr6:coauthVersionLast="36" xr6:coauthVersionMax="36" xr10:uidLastSave="{00000000-0000-0000-0000-000000000000}"/>
  <bookViews>
    <workbookView xWindow="0" yWindow="0" windowWidth="23040" windowHeight="8544" activeTab="1" xr2:uid="{00000000-000D-0000-FFFF-FFFF00000000}"/>
  </bookViews>
  <sheets>
    <sheet name="Instructions" sheetId="15" r:id="rId1"/>
    <sheet name="Revenue Simulation" sheetId="14" r:id="rId2"/>
  </sheets>
  <definedNames>
    <definedName name="Actual_flag">#REF!</definedName>
    <definedName name="cur_year">'Revenue Simulation'!$AI$1</definedName>
    <definedName name="Lookup">#REF!</definedName>
    <definedName name="overhead_rate">'Revenue Simulation'!$AI$7</definedName>
    <definedName name="_xlnm.Print_Titles" localSheetId="1">'Revenue Simulation'!$1:$16</definedName>
  </definedNames>
  <calcPr calcId="191029"/>
</workbook>
</file>

<file path=xl/calcChain.xml><?xml version="1.0" encoding="utf-8"?>
<calcChain xmlns="http://schemas.openxmlformats.org/spreadsheetml/2006/main">
  <c r="AF6" i="14" l="1"/>
  <c r="X4" i="14" l="1"/>
  <c r="AO22" i="14"/>
  <c r="AM22" i="14"/>
  <c r="AL22" i="14"/>
  <c r="AJ22" i="14"/>
  <c r="AI22" i="14"/>
  <c r="AG22" i="14"/>
  <c r="AF22" i="14"/>
  <c r="AD22" i="14"/>
  <c r="AC22" i="14"/>
  <c r="AA22" i="14"/>
  <c r="Y22" i="14"/>
  <c r="Z22" i="14" s="1"/>
  <c r="AO21" i="14"/>
  <c r="AM21" i="14"/>
  <c r="AL21" i="14"/>
  <c r="AJ21" i="14"/>
  <c r="AI21" i="14"/>
  <c r="AG21" i="14"/>
  <c r="AF21" i="14"/>
  <c r="AD21" i="14"/>
  <c r="AC21" i="14"/>
  <c r="AA21" i="14"/>
  <c r="Y21" i="14"/>
  <c r="Z21" i="14" s="1"/>
  <c r="AO20" i="14"/>
  <c r="AM20" i="14"/>
  <c r="AL20" i="14"/>
  <c r="AJ20" i="14"/>
  <c r="AI20" i="14"/>
  <c r="AG20" i="14"/>
  <c r="AF20" i="14"/>
  <c r="AD20" i="14"/>
  <c r="AC20" i="14"/>
  <c r="AA20" i="14"/>
  <c r="Y20" i="14"/>
  <c r="Z20" i="14" s="1"/>
  <c r="AO19" i="14"/>
  <c r="AM19" i="14"/>
  <c r="AL19" i="14"/>
  <c r="AJ19" i="14"/>
  <c r="AI19" i="14"/>
  <c r="AG19" i="14"/>
  <c r="AF19" i="14"/>
  <c r="AD19" i="14"/>
  <c r="AC19" i="14"/>
  <c r="AA19" i="14"/>
  <c r="Y19" i="14"/>
  <c r="Z19" i="14" s="1"/>
  <c r="AN18" i="14"/>
  <c r="AO18" i="14" s="1"/>
  <c r="AK18" i="14"/>
  <c r="AL18" i="14" s="1"/>
  <c r="AJ18" i="14"/>
  <c r="AH18" i="14"/>
  <c r="AI18" i="14" s="1"/>
  <c r="AE18" i="14"/>
  <c r="AF18" i="14" s="1"/>
  <c r="AD18" i="14"/>
  <c r="AB18" i="14"/>
  <c r="AC18" i="14" s="1"/>
  <c r="Y18" i="14"/>
  <c r="Z18" i="14" s="1"/>
  <c r="AA18" i="14" l="1"/>
  <c r="AG18" i="14"/>
  <c r="AM18" i="14"/>
  <c r="B13" i="15" l="1"/>
  <c r="B2" i="15" l="1"/>
  <c r="N40" i="15"/>
  <c r="N41" i="15"/>
  <c r="N42" i="15"/>
  <c r="N43" i="15"/>
  <c r="N44" i="15"/>
  <c r="N45" i="15"/>
  <c r="N46" i="15"/>
  <c r="N47" i="15"/>
  <c r="N48" i="15"/>
  <c r="N49" i="15"/>
  <c r="N39" i="15"/>
  <c r="N38" i="15"/>
  <c r="N15" i="15"/>
  <c r="O15" i="15"/>
  <c r="P15" i="15"/>
  <c r="M15" i="15"/>
  <c r="B5" i="15" l="1"/>
  <c r="B6" i="15" l="1"/>
  <c r="B1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AD10" i="14"/>
  <c r="AE10" i="14"/>
  <c r="AC10" i="14"/>
  <c r="AB10" i="14"/>
  <c r="N16" i="14"/>
  <c r="M17" i="14" l="1"/>
  <c r="AO46" i="15" l="1"/>
  <c r="AM46" i="15"/>
  <c r="AL46" i="15"/>
  <c r="AJ46" i="15"/>
  <c r="AI46" i="15"/>
  <c r="AG46" i="15"/>
  <c r="AF46" i="15"/>
  <c r="AD46" i="15"/>
  <c r="AC46" i="15"/>
  <c r="AA46" i="15"/>
  <c r="Y46" i="15"/>
  <c r="Z46" i="15" s="1"/>
  <c r="AO45" i="15"/>
  <c r="AM45" i="15"/>
  <c r="AL45" i="15"/>
  <c r="AJ45" i="15"/>
  <c r="AI45" i="15"/>
  <c r="AG45" i="15"/>
  <c r="AF45" i="15"/>
  <c r="AD45" i="15"/>
  <c r="AC45" i="15"/>
  <c r="AA45" i="15"/>
  <c r="Y45" i="15"/>
  <c r="Z45" i="15" s="1"/>
  <c r="AO44" i="15"/>
  <c r="AM44" i="15"/>
  <c r="AL44" i="15"/>
  <c r="AJ44" i="15"/>
  <c r="AI44" i="15"/>
  <c r="AG44" i="15"/>
  <c r="AF44" i="15"/>
  <c r="AD44" i="15"/>
  <c r="AC44" i="15"/>
  <c r="AA44" i="15"/>
  <c r="Y44" i="15"/>
  <c r="Z44" i="15" s="1"/>
  <c r="AO43" i="15"/>
  <c r="AM43" i="15"/>
  <c r="AL43" i="15"/>
  <c r="AJ43" i="15"/>
  <c r="AI43" i="15"/>
  <c r="AG43" i="15"/>
  <c r="AF43" i="15"/>
  <c r="AD43" i="15"/>
  <c r="AC43" i="15"/>
  <c r="AA43" i="15"/>
  <c r="Y43" i="15"/>
  <c r="Z43" i="15" s="1"/>
  <c r="AN42" i="15"/>
  <c r="AO42" i="15" s="1"/>
  <c r="AK42" i="15"/>
  <c r="AL42" i="15" s="1"/>
  <c r="AJ42" i="15"/>
  <c r="AH42" i="15"/>
  <c r="AI42" i="15" s="1"/>
  <c r="AG42" i="15"/>
  <c r="AE42" i="15"/>
  <c r="AF42" i="15" s="1"/>
  <c r="AB42" i="15"/>
  <c r="AC42" i="15" s="1"/>
  <c r="AA42" i="15"/>
  <c r="Y42" i="15"/>
  <c r="Z42" i="15" s="1"/>
  <c r="X50" i="15"/>
  <c r="AD42" i="15" l="1"/>
  <c r="AM42" i="15"/>
  <c r="I38" i="15"/>
  <c r="H38" i="15"/>
  <c r="G38" i="15"/>
  <c r="F38" i="15"/>
  <c r="E38" i="15"/>
  <c r="D15" i="15"/>
  <c r="C15" i="15"/>
  <c r="B15" i="15"/>
  <c r="H16" i="14"/>
  <c r="G16" i="14"/>
  <c r="F16" i="14"/>
  <c r="E16" i="14"/>
  <c r="L39" i="15" l="1"/>
  <c r="K17" i="14" l="1"/>
  <c r="N17" i="14" s="1"/>
  <c r="U15" i="15" l="1"/>
  <c r="J15" i="15"/>
  <c r="I15" i="15"/>
  <c r="S15" i="15" s="1"/>
  <c r="AD6" i="14"/>
  <c r="AC6" i="14"/>
  <c r="AA6" i="14"/>
  <c r="Q46" i="15"/>
  <c r="S46" i="15" s="1"/>
  <c r="U46" i="15" s="1"/>
  <c r="T50" i="15"/>
  <c r="R50" i="15"/>
  <c r="P50" i="15"/>
  <c r="J50" i="15"/>
  <c r="I50" i="15"/>
  <c r="H50" i="15"/>
  <c r="G50" i="15"/>
  <c r="F50" i="15"/>
  <c r="E50" i="15"/>
  <c r="S49" i="15"/>
  <c r="U49" i="15" s="1"/>
  <c r="M49" i="15"/>
  <c r="L49" i="15"/>
  <c r="K49" i="15"/>
  <c r="S48" i="15"/>
  <c r="U48" i="15" s="1"/>
  <c r="M48" i="15"/>
  <c r="L48" i="15"/>
  <c r="K48" i="15"/>
  <c r="S47" i="15"/>
  <c r="U47" i="15" s="1"/>
  <c r="M47" i="15"/>
  <c r="L47" i="15"/>
  <c r="K47" i="15"/>
  <c r="M46" i="15"/>
  <c r="L46" i="15"/>
  <c r="K46" i="15"/>
  <c r="S45" i="15"/>
  <c r="U45" i="15" s="1"/>
  <c r="M45" i="15"/>
  <c r="L45" i="15"/>
  <c r="K45" i="15"/>
  <c r="S44" i="15"/>
  <c r="U44" i="15" s="1"/>
  <c r="M44" i="15"/>
  <c r="L44" i="15"/>
  <c r="K44" i="15"/>
  <c r="S43" i="15"/>
  <c r="U43" i="15" s="1"/>
  <c r="M43" i="15"/>
  <c r="L43" i="15"/>
  <c r="K43" i="15"/>
  <c r="S42" i="15"/>
  <c r="U42" i="15" s="1"/>
  <c r="M42" i="15"/>
  <c r="L42" i="15"/>
  <c r="K42" i="15"/>
  <c r="S41" i="15"/>
  <c r="U41" i="15" s="1"/>
  <c r="M41" i="15"/>
  <c r="L41" i="15"/>
  <c r="K41" i="15"/>
  <c r="S40" i="15"/>
  <c r="U40" i="15" s="1"/>
  <c r="M40" i="15"/>
  <c r="L40" i="15"/>
  <c r="K40" i="15"/>
  <c r="S39" i="15"/>
  <c r="U39" i="15" s="1"/>
  <c r="M39" i="15"/>
  <c r="K39" i="15"/>
  <c r="S37" i="14"/>
  <c r="U37" i="14" s="1"/>
  <c r="M37" i="14"/>
  <c r="K37" i="14"/>
  <c r="S36" i="14"/>
  <c r="U36" i="14" s="1"/>
  <c r="M36" i="14"/>
  <c r="K36" i="14"/>
  <c r="S35" i="14"/>
  <c r="U35" i="14" s="1"/>
  <c r="M35" i="14"/>
  <c r="K35" i="14"/>
  <c r="S34" i="14"/>
  <c r="U34" i="14" s="1"/>
  <c r="M34" i="14"/>
  <c r="K34" i="14"/>
  <c r="S33" i="14"/>
  <c r="U33" i="14" s="1"/>
  <c r="M33" i="14"/>
  <c r="K33" i="14"/>
  <c r="S32" i="14"/>
  <c r="U32" i="14" s="1"/>
  <c r="M32" i="14"/>
  <c r="K32" i="14"/>
  <c r="S31" i="14"/>
  <c r="U31" i="14" s="1"/>
  <c r="M31" i="14"/>
  <c r="K31" i="14"/>
  <c r="S30" i="14"/>
  <c r="U30" i="14" s="1"/>
  <c r="M30" i="14"/>
  <c r="K30" i="14"/>
  <c r="S29" i="14"/>
  <c r="U29" i="14" s="1"/>
  <c r="M29" i="14"/>
  <c r="K29" i="14"/>
  <c r="S28" i="14"/>
  <c r="U28" i="14" s="1"/>
  <c r="M28" i="14"/>
  <c r="K28" i="14"/>
  <c r="S27" i="14"/>
  <c r="U27" i="14" s="1"/>
  <c r="M27" i="14"/>
  <c r="K27" i="14"/>
  <c r="S26" i="14"/>
  <c r="U26" i="14" s="1"/>
  <c r="M26" i="14"/>
  <c r="K26" i="14"/>
  <c r="S25" i="14"/>
  <c r="U25" i="14" s="1"/>
  <c r="M25" i="14"/>
  <c r="K25" i="14"/>
  <c r="S24" i="14"/>
  <c r="U24" i="14" s="1"/>
  <c r="M24" i="14"/>
  <c r="K24" i="14"/>
  <c r="S23" i="14"/>
  <c r="U23" i="14" s="1"/>
  <c r="M23" i="14"/>
  <c r="K23" i="14"/>
  <c r="S22" i="14"/>
  <c r="U22" i="14" s="1"/>
  <c r="M22" i="14"/>
  <c r="K22" i="14"/>
  <c r="S21" i="14"/>
  <c r="U21" i="14" s="1"/>
  <c r="M21" i="14"/>
  <c r="K21" i="14"/>
  <c r="S20" i="14"/>
  <c r="U20" i="14" s="1"/>
  <c r="M20" i="14"/>
  <c r="K20" i="14"/>
  <c r="S19" i="14"/>
  <c r="U19" i="14" s="1"/>
  <c r="M19" i="14"/>
  <c r="K19" i="14"/>
  <c r="S18" i="14"/>
  <c r="S17" i="14"/>
  <c r="M18" i="14"/>
  <c r="J38" i="14"/>
  <c r="I38" i="14"/>
  <c r="H38" i="14"/>
  <c r="G38" i="14"/>
  <c r="F38" i="14"/>
  <c r="E38" i="14"/>
  <c r="T38" i="14"/>
  <c r="Q38" i="14"/>
  <c r="R38" i="14"/>
  <c r="P38" i="14"/>
  <c r="J16" i="14" l="1"/>
  <c r="E15" i="15"/>
  <c r="V15" i="15" s="1"/>
  <c r="J38" i="15"/>
  <c r="I16" i="14"/>
  <c r="T15" i="15"/>
  <c r="Q50" i="15"/>
  <c r="K50" i="15"/>
  <c r="U50" i="15"/>
  <c r="L50" i="15"/>
  <c r="M50" i="15"/>
  <c r="S50" i="15"/>
  <c r="O41" i="15"/>
  <c r="V41" i="15" s="1"/>
  <c r="O49" i="15"/>
  <c r="V49" i="15" s="1"/>
  <c r="O40" i="15"/>
  <c r="O43" i="15"/>
  <c r="V43" i="15" s="1"/>
  <c r="O45" i="15"/>
  <c r="V45" i="15" s="1"/>
  <c r="O48" i="15"/>
  <c r="V48" i="15" s="1"/>
  <c r="O39" i="15"/>
  <c r="V39" i="15" s="1"/>
  <c r="O42" i="15"/>
  <c r="V42" i="15" s="1"/>
  <c r="O44" i="15"/>
  <c r="V44" i="15" s="1"/>
  <c r="O46" i="15"/>
  <c r="V46" i="15" s="1"/>
  <c r="O47" i="15"/>
  <c r="V47" i="15" s="1"/>
  <c r="L17" i="14" l="1"/>
  <c r="L37" i="14"/>
  <c r="O37" i="14" s="1"/>
  <c r="V37" i="14" s="1"/>
  <c r="L34" i="14"/>
  <c r="O34" i="14" s="1"/>
  <c r="V34" i="14" s="1"/>
  <c r="L31" i="14"/>
  <c r="O31" i="14" s="1"/>
  <c r="V31" i="14" s="1"/>
  <c r="L28" i="14"/>
  <c r="O28" i="14" s="1"/>
  <c r="V28" i="14" s="1"/>
  <c r="L25" i="14"/>
  <c r="O25" i="14" s="1"/>
  <c r="V25" i="14" s="1"/>
  <c r="L22" i="14"/>
  <c r="O22" i="14" s="1"/>
  <c r="V22" i="14" s="1"/>
  <c r="L19" i="14"/>
  <c r="O19" i="14" s="1"/>
  <c r="V19" i="14" s="1"/>
  <c r="L32" i="14"/>
  <c r="O32" i="14" s="1"/>
  <c r="V32" i="14" s="1"/>
  <c r="L26" i="14"/>
  <c r="O26" i="14" s="1"/>
  <c r="V26" i="14" s="1"/>
  <c r="L20" i="14"/>
  <c r="O20" i="14" s="1"/>
  <c r="V20" i="14" s="1"/>
  <c r="L35" i="14"/>
  <c r="O35" i="14" s="1"/>
  <c r="V35" i="14" s="1"/>
  <c r="L29" i="14"/>
  <c r="O29" i="14" s="1"/>
  <c r="V29" i="14" s="1"/>
  <c r="L23" i="14"/>
  <c r="O23" i="14" s="1"/>
  <c r="V23" i="14" s="1"/>
  <c r="L36" i="14"/>
  <c r="O36" i="14" s="1"/>
  <c r="V36" i="14" s="1"/>
  <c r="L33" i="14"/>
  <c r="O33" i="14" s="1"/>
  <c r="V33" i="14" s="1"/>
  <c r="L30" i="14"/>
  <c r="O30" i="14" s="1"/>
  <c r="V30" i="14" s="1"/>
  <c r="L24" i="14"/>
  <c r="O24" i="14" s="1"/>
  <c r="V24" i="14" s="1"/>
  <c r="L21" i="14"/>
  <c r="O21" i="14" s="1"/>
  <c r="V21" i="14" s="1"/>
  <c r="L27" i="14"/>
  <c r="O27" i="14" s="1"/>
  <c r="V27" i="14" s="1"/>
  <c r="V40" i="15"/>
  <c r="V50" i="15" s="1"/>
  <c r="O50" i="15"/>
  <c r="N50" i="15"/>
  <c r="L18" i="14" l="1"/>
  <c r="K18" i="14"/>
  <c r="N18" i="14" s="1"/>
  <c r="U18" i="14"/>
  <c r="M38" i="14" l="1"/>
  <c r="U17" i="14"/>
  <c r="U38" i="14" s="1"/>
  <c r="S38" i="14"/>
  <c r="K38" i="14"/>
  <c r="L38" i="14"/>
  <c r="O18" i="14"/>
  <c r="V18" i="14" s="1"/>
  <c r="O17" i="14" l="1"/>
  <c r="N38" i="14"/>
  <c r="V17" i="14" l="1"/>
  <c r="V38" i="14" s="1"/>
  <c r="O3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Jisoo Kim</author>
    <author>Steven Angelo</author>
  </authors>
  <commentList>
    <comment ref="B14" authorId="0" shapeId="0" xr:uid="{00000000-0006-0000-0000-000001000000}">
      <text>
        <r>
          <rPr>
            <sz val="10"/>
            <color rgb="FF000000"/>
            <rFont val="Tahoma"/>
            <family val="2"/>
          </rPr>
          <t>UCLA and Other UC incoming and current students</t>
        </r>
      </text>
    </comment>
    <comment ref="C14" authorId="0" shapeId="0" xr:uid="{00000000-0006-0000-0000-000002000000}">
      <text>
        <r>
          <rPr>
            <sz val="10"/>
            <color rgb="FF000000"/>
            <rFont val="Arial"/>
            <family val="2"/>
          </rPr>
          <t xml:space="preserve">UCLA and Other UC incoming and current students
</t>
        </r>
      </text>
    </comment>
    <comment ref="D14" authorId="0" shapeId="0" xr:uid="{00000000-0006-0000-0000-000003000000}">
      <text>
        <r>
          <rPr>
            <sz val="10"/>
            <color rgb="FF000000"/>
            <rFont val="Arial"/>
            <family val="2"/>
          </rPr>
          <t xml:space="preserve">Non-UC undergraduate and graduate enrollments are subject to the same unit fee rates and therefore, the same BBM tax. High school students, as well as students who have graduated from a high school (or equivalent) but do not have a bachelor's degree, are considered non-UC U regardless of whether they are attending college/university. 
</t>
        </r>
      </text>
    </comment>
    <comment ref="E14" authorId="0" shapeId="0" xr:uid="{00000000-0006-0000-0000-000004000000}">
      <text>
        <r>
          <rPr>
            <sz val="10"/>
            <color rgb="FF000000"/>
            <rFont val="Arial"/>
            <family val="2"/>
          </rPr>
          <t xml:space="preserve">Non-UC undergraduate and graduate enrollments are subject to the same unit fee rates and therefore, the same BBM tax deduction amounts. Non-UC Students with a bachelor's degree are considered non-UC G regardless of whether they are enrolled in a graduate degree program. 
</t>
        </r>
      </text>
    </comment>
    <comment ref="I14" authorId="0" shapeId="0" xr:uid="{00000000-0006-0000-0000-000005000000}">
      <text>
        <r>
          <rPr>
            <sz val="10"/>
            <color rgb="FF000000"/>
            <rFont val="Tahoma"/>
            <family val="2"/>
          </rPr>
          <t>UCLA and other UC undergraduate enrollments are subject to the same unit fee and RTA rates.</t>
        </r>
      </text>
    </comment>
    <comment ref="J14" authorId="0" shapeId="0" xr:uid="{00000000-0006-0000-0000-000006000000}">
      <text>
        <r>
          <rPr>
            <sz val="10"/>
            <color rgb="FF000000"/>
            <rFont val="Arial"/>
            <family val="2"/>
          </rPr>
          <t xml:space="preserve">UCLA and other UC graduate enrollments are subject to the same unit fee and RTA rates.
</t>
        </r>
      </text>
    </comment>
    <comment ref="E37" authorId="1" shapeId="0" xr:uid="{00000000-0006-0000-0000-000007000000}">
      <text>
        <r>
          <rPr>
            <b/>
            <sz val="9"/>
            <color rgb="FF000000"/>
            <rFont val="Tahoma"/>
            <family val="2"/>
          </rPr>
          <t>UCLA undergraduate student</t>
        </r>
      </text>
    </comment>
    <comment ref="F37" authorId="1" shapeId="0" xr:uid="{00000000-0006-0000-0000-000008000000}">
      <text>
        <r>
          <rPr>
            <b/>
            <sz val="9"/>
            <color rgb="FF000000"/>
            <rFont val="Tahoma"/>
            <family val="2"/>
          </rPr>
          <t>UCLA graduate student</t>
        </r>
      </text>
    </comment>
    <comment ref="G37" authorId="1" shapeId="0" xr:uid="{00000000-0006-0000-0000-000009000000}">
      <text>
        <r>
          <rPr>
            <b/>
            <sz val="9"/>
            <color rgb="FF000000"/>
            <rFont val="Tahoma"/>
            <family val="2"/>
          </rPr>
          <t>An undergraduate student from another UC campus</t>
        </r>
      </text>
    </comment>
    <comment ref="H37" authorId="1" shapeId="0" xr:uid="{00000000-0006-0000-0000-00000A000000}">
      <text>
        <r>
          <rPr>
            <b/>
            <sz val="9"/>
            <color rgb="FF000000"/>
            <rFont val="Tahoma"/>
            <family val="2"/>
          </rPr>
          <t>A graduate student from another UC campus</t>
        </r>
      </text>
    </comment>
    <comment ref="I37" authorId="1" shapeId="0" xr:uid="{00000000-0006-0000-0000-00000B000000}">
      <text>
        <r>
          <rPr>
            <b/>
            <sz val="9"/>
            <color rgb="FF000000"/>
            <rFont val="Tahoma"/>
            <family val="2"/>
          </rPr>
          <t>An undergraduate student, not from a UC campus</t>
        </r>
      </text>
    </comment>
    <comment ref="J37" authorId="1" shapeId="0" xr:uid="{00000000-0006-0000-0000-00000C000000}">
      <text>
        <r>
          <rPr>
            <b/>
            <sz val="9"/>
            <color rgb="FF000000"/>
            <rFont val="Tahoma"/>
            <family val="2"/>
          </rPr>
          <t>A graduate student, not from a UC campus</t>
        </r>
      </text>
    </comment>
    <comment ref="E38" authorId="1" shapeId="0" xr:uid="{00000000-0006-0000-0000-00000D000000}">
      <text>
        <r>
          <rPr>
            <sz val="8"/>
            <color rgb="FF000000"/>
            <rFont val="Tahoma"/>
            <family val="2"/>
          </rPr>
          <t>Per-unit fee, used for gross revenue calculation.</t>
        </r>
      </text>
    </comment>
    <comment ref="F38" authorId="1" shapeId="0" xr:uid="{00000000-0006-0000-0000-00000E000000}">
      <text>
        <r>
          <rPr>
            <sz val="8"/>
            <color rgb="FF000000"/>
            <rFont val="Tahoma"/>
            <family val="2"/>
          </rPr>
          <t>Per-unit fee, used for gross revenue calculation.</t>
        </r>
      </text>
    </comment>
    <comment ref="G38" authorId="0" shapeId="0" xr:uid="{00000000-0006-0000-0000-00000F000000}">
      <text>
        <r>
          <rPr>
            <sz val="10"/>
            <color rgb="FF000000"/>
            <rFont val="Tahoma"/>
            <family val="2"/>
          </rPr>
          <t>Per-unit fee used for gross revenue calculation</t>
        </r>
      </text>
    </comment>
    <comment ref="H38" authorId="0" shapeId="0" xr:uid="{00000000-0006-0000-0000-000010000000}">
      <text>
        <r>
          <rPr>
            <sz val="10"/>
            <color rgb="FF000000"/>
            <rFont val="Tahoma"/>
            <family val="2"/>
          </rPr>
          <t>Per-unit fee, used for gross revenue calculation</t>
        </r>
      </text>
    </comment>
    <comment ref="I38" authorId="1" shapeId="0" xr:uid="{00000000-0006-0000-0000-000011000000}">
      <text>
        <r>
          <rPr>
            <sz val="8"/>
            <color rgb="FF000000"/>
            <rFont val="Tahoma"/>
            <family val="2"/>
          </rPr>
          <t>Per-unit fee, used for gross revenue calculation.</t>
        </r>
      </text>
    </comment>
    <comment ref="J38" authorId="0" shapeId="0" xr:uid="{00000000-0006-0000-0000-000012000000}">
      <text>
        <r>
          <rPr>
            <sz val="10"/>
            <color rgb="FF000000"/>
            <rFont val="Tahoma"/>
            <family val="2"/>
          </rPr>
          <t>Per-unit fee used for gross revenue calculation</t>
        </r>
      </text>
    </comment>
    <comment ref="M38" authorId="1" shapeId="0" xr:uid="{00000000-0006-0000-0000-000013000000}">
      <text>
        <r>
          <rPr>
            <sz val="8"/>
            <color rgb="FF000000"/>
            <rFont val="Tahoma"/>
            <family val="2"/>
          </rPr>
          <t xml:space="preserve">Rate of UC per-unit fees returned to financial aid.
</t>
        </r>
        <r>
          <rPr>
            <sz val="8"/>
            <color rgb="FF000000"/>
            <rFont val="Tahoma"/>
            <family val="2"/>
          </rPr>
          <t>Used throughout in calculations.</t>
        </r>
      </text>
    </comment>
    <comment ref="S38" authorId="1" shapeId="0" xr:uid="{00000000-0006-0000-0000-000014000000}">
      <text>
        <r>
          <rPr>
            <sz val="8"/>
            <color rgb="FF000000"/>
            <rFont val="Tahoma"/>
            <family val="2"/>
          </rPr>
          <t xml:space="preserve">Fringe percent.
</t>
        </r>
        <r>
          <rPr>
            <sz val="8"/>
            <color rgb="FF000000"/>
            <rFont val="Tahoma"/>
            <family val="2"/>
          </rPr>
          <t xml:space="preserve">Used throughout in calculations.
</t>
        </r>
        <r>
          <rPr>
            <sz val="8"/>
            <color rgb="FF000000"/>
            <rFont val="Tahoma"/>
            <family val="2"/>
          </rPr>
          <t>This field can be updated to reflect the fringe percent in your department.</t>
        </r>
      </text>
    </comment>
    <comment ref="Y41" authorId="0" shapeId="0" xr:uid="{00000000-0006-0000-0000-000015000000}">
      <text>
        <r>
          <rPr>
            <sz val="10"/>
            <color rgb="FF000000"/>
            <rFont val="Tahoma"/>
            <family val="2"/>
          </rPr>
          <t>Teacing one 4-5 unit course</t>
        </r>
      </text>
    </comment>
    <comment ref="Z41" authorId="0" shapeId="0" xr:uid="{00000000-0006-0000-0000-000016000000}">
      <text>
        <r>
          <rPr>
            <sz val="10"/>
            <color rgb="FF000000"/>
            <rFont val="Tahoma"/>
            <family val="2"/>
          </rPr>
          <t>Teaching two 4-5 unit courses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Jisoo Kim</author>
    <author>Steven Angelo</author>
    <author>Huang, Raymond</author>
  </authors>
  <commentList>
    <comment ref="X5" authorId="0" shapeId="0" xr:uid="{00000000-0006-0000-0100-000001000000}">
      <text>
        <r>
          <rPr>
            <sz val="10"/>
            <color rgb="FF000000"/>
            <rFont val="Tahoma"/>
            <family val="2"/>
          </rPr>
          <t>UCLA and Other UC incoming and current students</t>
        </r>
      </text>
    </comment>
    <comment ref="Y5" authorId="0" shapeId="0" xr:uid="{00000000-0006-0000-0100-000002000000}">
      <text>
        <r>
          <rPr>
            <sz val="10"/>
            <color rgb="FF000000"/>
            <rFont val="Arial"/>
            <family val="2"/>
          </rPr>
          <t xml:space="preserve">UCLA and Other UC incoming and current students
</t>
        </r>
      </text>
    </comment>
    <comment ref="Z5" authorId="0" shapeId="0" xr:uid="{00000000-0006-0000-0100-000003000000}">
      <text>
        <r>
          <rPr>
            <sz val="10"/>
            <color rgb="FF000000"/>
            <rFont val="Arial"/>
            <family val="2"/>
          </rPr>
          <t xml:space="preserve">Non-UC undergraduate and graduate enrollments are subject to the same unit fee rates and therefore, the same BBM tax. High school students, as well as students who have graduated from a high school (or equivalent) but do not have a bachelor's degree, are considered non-UC U regardless of whether they are attending college/university. 
</t>
        </r>
      </text>
    </comment>
    <comment ref="AA5" authorId="0" shapeId="0" xr:uid="{00000000-0006-0000-0100-000004000000}">
      <text>
        <r>
          <rPr>
            <sz val="10"/>
            <color rgb="FF000000"/>
            <rFont val="Arial"/>
            <family val="2"/>
          </rPr>
          <t xml:space="preserve">Non-UC undergraduate and graduate enrollments are subject to the same unit fee rates and therefore, the same BBM tax deduction amounts. Non-UC Students with a bachelor's degree are considered non-UC G regardless of whether they are enrolled in a graduate degree program. 
</t>
        </r>
      </text>
    </comment>
    <comment ref="AC5" authorId="0" shapeId="0" xr:uid="{00000000-0006-0000-0100-000005000000}">
      <text>
        <r>
          <rPr>
            <sz val="10"/>
            <color rgb="FF000000"/>
            <rFont val="Tahoma"/>
            <family val="2"/>
          </rPr>
          <t>UCLA and other UC undergraduate enrollments are subject to the same unit fee and RTA rates.</t>
        </r>
      </text>
    </comment>
    <comment ref="AD5" authorId="0" shapeId="0" xr:uid="{00000000-0006-0000-0100-000006000000}">
      <text>
        <r>
          <rPr>
            <sz val="10"/>
            <color rgb="FF000000"/>
            <rFont val="Arial"/>
            <family val="2"/>
          </rPr>
          <t xml:space="preserve">UCLA and other UC graduate enrollments are subject to the same unit fee and RTA rates.
</t>
        </r>
      </text>
    </comment>
    <comment ref="E15" authorId="1" shapeId="0" xr:uid="{00000000-0006-0000-0100-000007000000}">
      <text>
        <r>
          <rPr>
            <sz val="9"/>
            <color rgb="FF000000"/>
            <rFont val="Tahoma"/>
            <family val="2"/>
          </rPr>
          <t>UCLA undergraduate student</t>
        </r>
      </text>
    </comment>
    <comment ref="F15" authorId="1" shapeId="0" xr:uid="{00000000-0006-0000-0100-000008000000}">
      <text>
        <r>
          <rPr>
            <sz val="9"/>
            <color rgb="FF000000"/>
            <rFont val="Tahoma"/>
            <family val="2"/>
          </rPr>
          <t>UCLA graduate student</t>
        </r>
      </text>
    </comment>
    <comment ref="G15" authorId="1" shapeId="0" xr:uid="{00000000-0006-0000-0100-000009000000}">
      <text>
        <r>
          <rPr>
            <sz val="9"/>
            <color rgb="FF000000"/>
            <rFont val="Tahoma"/>
            <family val="2"/>
          </rPr>
          <t>Undergraduate student from another UC campus</t>
        </r>
      </text>
    </comment>
    <comment ref="H15" authorId="1" shapeId="0" xr:uid="{00000000-0006-0000-0100-00000A000000}">
      <text>
        <r>
          <rPr>
            <sz val="9"/>
            <color rgb="FF000000"/>
            <rFont val="Tahoma"/>
            <family val="2"/>
          </rPr>
          <t>Graduate student from another UC campus</t>
        </r>
      </text>
    </comment>
    <comment ref="I15" authorId="1" shapeId="0" xr:uid="{00000000-0006-0000-0100-00000B000000}">
      <text>
        <r>
          <rPr>
            <sz val="9"/>
            <color rgb="FF000000"/>
            <rFont val="Tahoma"/>
            <family val="2"/>
          </rPr>
          <t>Undergraduate students, not from a UC campus</t>
        </r>
      </text>
    </comment>
    <comment ref="J15" authorId="1" shapeId="0" xr:uid="{00000000-0006-0000-0100-00000C000000}">
      <text>
        <r>
          <rPr>
            <sz val="9"/>
            <color rgb="FF000000"/>
            <rFont val="Tahoma"/>
            <family val="2"/>
          </rPr>
          <t>Graduate students, not from a UC campus</t>
        </r>
      </text>
    </comment>
    <comment ref="E16" authorId="1" shapeId="0" xr:uid="{00000000-0006-0000-0100-00000D000000}">
      <text>
        <r>
          <rPr>
            <sz val="8"/>
            <color rgb="FF000000"/>
            <rFont val="Tahoma"/>
            <family val="2"/>
          </rPr>
          <t>Per-unit fee, used for gross revenue calculation.</t>
        </r>
      </text>
    </comment>
    <comment ref="F16" authorId="1" shapeId="0" xr:uid="{00000000-0006-0000-0100-00000E000000}">
      <text>
        <r>
          <rPr>
            <sz val="8"/>
            <color rgb="FF000000"/>
            <rFont val="Tahoma"/>
            <family val="2"/>
          </rPr>
          <t>Per-unit fee, used for gross revenue calculation.</t>
        </r>
      </text>
    </comment>
    <comment ref="G16" authorId="2" shapeId="0" xr:uid="{00000000-0006-0000-0100-00000F000000}">
      <text>
        <r>
          <rPr>
            <sz val="8"/>
            <color rgb="FF000000"/>
            <rFont val="Tahoma"/>
            <family val="2"/>
          </rPr>
          <t>Per-unit fee, used for gross revenue calculation.</t>
        </r>
      </text>
    </comment>
    <comment ref="H16" authorId="2" shapeId="0" xr:uid="{00000000-0006-0000-0100-000010000000}">
      <text>
        <r>
          <rPr>
            <sz val="8"/>
            <color rgb="FF000000"/>
            <rFont val="Tahoma"/>
            <family val="2"/>
          </rPr>
          <t>Per-unit fee, used for gross revenue calculation.</t>
        </r>
      </text>
    </comment>
    <comment ref="I16" authorId="1" shapeId="0" xr:uid="{00000000-0006-0000-0100-000011000000}">
      <text>
        <r>
          <rPr>
            <sz val="8"/>
            <color rgb="FF000000"/>
            <rFont val="Tahoma"/>
            <family val="2"/>
          </rPr>
          <t>Per-unit fee, used for gross revenue calculation.</t>
        </r>
      </text>
    </comment>
    <comment ref="J16" authorId="2" shapeId="0" xr:uid="{00000000-0006-0000-0100-000012000000}">
      <text>
        <r>
          <rPr>
            <sz val="8"/>
            <color rgb="FF000000"/>
            <rFont val="Tahoma"/>
            <family val="2"/>
          </rPr>
          <t>Per-unit fee, used for gross revenue calculation.</t>
        </r>
      </text>
    </comment>
    <comment ref="M16" authorId="1" shapeId="0" xr:uid="{00000000-0006-0000-0100-000013000000}">
      <text>
        <r>
          <rPr>
            <sz val="8"/>
            <color rgb="FF000000"/>
            <rFont val="Tahoma"/>
            <family val="2"/>
          </rPr>
          <t xml:space="preserve">Rate of UC per-unit fees returned to financial aid.
</t>
        </r>
        <r>
          <rPr>
            <sz val="8"/>
            <color rgb="FF000000"/>
            <rFont val="Tahoma"/>
            <family val="2"/>
          </rPr>
          <t>Used throughout in calculations.</t>
        </r>
      </text>
    </comment>
    <comment ref="S16" authorId="1" shapeId="0" xr:uid="{00000000-0006-0000-0100-000014000000}">
      <text>
        <r>
          <rPr>
            <sz val="8"/>
            <color rgb="FF000000"/>
            <rFont val="Tahoma"/>
            <family val="2"/>
          </rPr>
          <t xml:space="preserve">Fringe percent.
</t>
        </r>
        <r>
          <rPr>
            <sz val="8"/>
            <color rgb="FF000000"/>
            <rFont val="Tahoma"/>
            <family val="2"/>
          </rPr>
          <t xml:space="preserve">Used throughout in calculations.
</t>
        </r>
        <r>
          <rPr>
            <sz val="8"/>
            <color rgb="FF000000"/>
            <rFont val="Tahoma"/>
            <family val="2"/>
          </rPr>
          <t>This field can be updated to reflect the fringe percent in your department.</t>
        </r>
      </text>
    </comment>
    <comment ref="Y17" authorId="0" shapeId="0" xr:uid="{6D9AA5F4-A3D9-41E5-AEDD-91267C7D8F03}">
      <text>
        <r>
          <rPr>
            <sz val="10"/>
            <color rgb="FF000000"/>
            <rFont val="Tahoma"/>
            <family val="2"/>
          </rPr>
          <t>Teacing one 4-5 unit course</t>
        </r>
      </text>
    </comment>
    <comment ref="Z17" authorId="0" shapeId="0" xr:uid="{E712AA99-3711-4583-B3B1-286193BBEF5C}">
      <text>
        <r>
          <rPr>
            <sz val="10"/>
            <color rgb="FF000000"/>
            <rFont val="Tahoma"/>
            <family val="2"/>
          </rPr>
          <t>Teaching two 4-5 unit courses</t>
        </r>
      </text>
    </comment>
  </commentList>
</comments>
</file>

<file path=xl/sharedStrings.xml><?xml version="1.0" encoding="utf-8"?>
<sst xmlns="http://schemas.openxmlformats.org/spreadsheetml/2006/main" count="196" uniqueCount="113">
  <si>
    <t>Revenue</t>
  </si>
  <si>
    <t>Faculty</t>
  </si>
  <si>
    <t>TA</t>
  </si>
  <si>
    <t>Hrly</t>
  </si>
  <si>
    <t>Frg</t>
  </si>
  <si>
    <t>Sub</t>
  </si>
  <si>
    <t>Total</t>
  </si>
  <si>
    <t>Name</t>
  </si>
  <si>
    <t>$</t>
  </si>
  <si>
    <t>Grand Total</t>
  </si>
  <si>
    <t>UCLA U</t>
  </si>
  <si>
    <t>UCLA G</t>
  </si>
  <si>
    <t>Other UC U</t>
  </si>
  <si>
    <t>Other UC G</t>
  </si>
  <si>
    <t>Non UC U</t>
  </si>
  <si>
    <t>Non UC G</t>
  </si>
  <si>
    <t>Gross</t>
  </si>
  <si>
    <t>Units</t>
  </si>
  <si>
    <t>Instructional Expenses</t>
  </si>
  <si>
    <t>9-Month Annual</t>
  </si>
  <si>
    <t>3-Week Session</t>
  </si>
  <si>
    <t>6-Week Session</t>
  </si>
  <si>
    <t>8-Week Session</t>
  </si>
  <si>
    <t>9-Week Session</t>
  </si>
  <si>
    <t>10-Week Session</t>
  </si>
  <si>
    <t xml:space="preserve">Net </t>
  </si>
  <si>
    <t>J. Bruin</t>
  </si>
  <si>
    <t>Number and Title</t>
  </si>
  <si>
    <t>Course Information</t>
  </si>
  <si>
    <t>Instructor</t>
  </si>
  <si>
    <t>Enrollments</t>
  </si>
  <si>
    <t>Appintment %</t>
  </si>
  <si>
    <t>Gross Revenue and Department Revenue</t>
  </si>
  <si>
    <t xml:space="preserve">Department </t>
  </si>
  <si>
    <t>Dept Revenue minus Expenses</t>
  </si>
  <si>
    <r>
      <rPr>
        <b/>
        <sz val="11"/>
        <rFont val="Calibri"/>
        <family val="2"/>
        <scheme val="minor"/>
      </rPr>
      <t>Gross Revenue</t>
    </r>
    <r>
      <rPr>
        <sz val="11"/>
        <rFont val="Calibri"/>
        <family val="2"/>
        <scheme val="minor"/>
      </rPr>
      <t>: sum of unit fee revenue from UCLA, other UC, and non-UC student enrollments</t>
    </r>
  </si>
  <si>
    <r>
      <rPr>
        <b/>
        <sz val="11"/>
        <rFont val="Calibri"/>
        <family val="2"/>
        <scheme val="minor"/>
      </rPr>
      <t>RTA</t>
    </r>
    <r>
      <rPr>
        <sz val="11"/>
        <rFont val="Calibri"/>
        <family val="2"/>
        <scheme val="minor"/>
      </rPr>
      <t>: 28.4% of UCLA and other UC unit fees</t>
    </r>
  </si>
  <si>
    <r>
      <rPr>
        <b/>
        <sz val="11"/>
        <rFont val="Calibri"/>
        <family val="2"/>
        <scheme val="minor"/>
      </rPr>
      <t>Net Revenue</t>
    </r>
    <r>
      <rPr>
        <sz val="11"/>
        <rFont val="Calibri"/>
        <family val="2"/>
        <scheme val="minor"/>
      </rPr>
      <t>: DR - Department Instructional Expenses</t>
    </r>
  </si>
  <si>
    <t>UC U</t>
  </si>
  <si>
    <t>UC G</t>
  </si>
  <si>
    <t>Non-UC U</t>
  </si>
  <si>
    <t>Non-UC G</t>
  </si>
  <si>
    <t xml:space="preserve">Notes: </t>
  </si>
  <si>
    <t xml:space="preserve">This simulation is for revenue-generating courses only. For departments that offer Summer Institutes and/or Travel Study programs, the total department revenue and net revenue will change pending enrollment and revenue activities from their Summer Institutes and/or Travel Study programs. </t>
  </si>
  <si>
    <t>RTA</t>
  </si>
  <si>
    <t xml:space="preserve">UC U </t>
  </si>
  <si>
    <t>REVENUE SIMULATION EXAMPLES</t>
  </si>
  <si>
    <t>Example - Course A</t>
  </si>
  <si>
    <t>Example - Course B</t>
  </si>
  <si>
    <t>Example - Course C</t>
  </si>
  <si>
    <t>Example - Course D</t>
  </si>
  <si>
    <t>Example - Course E</t>
  </si>
  <si>
    <t>Example - Course F</t>
  </si>
  <si>
    <t>Example - Course G</t>
  </si>
  <si>
    <t>Example - Course H</t>
  </si>
  <si>
    <t>Example - Course I</t>
  </si>
  <si>
    <t>Example - Course J</t>
  </si>
  <si>
    <t>Example - Course K</t>
  </si>
  <si>
    <t>A. Bruin</t>
  </si>
  <si>
    <t>B. Bruin</t>
  </si>
  <si>
    <t>C. Bruin</t>
  </si>
  <si>
    <t>D. Bruin</t>
  </si>
  <si>
    <t>E. Bruin</t>
  </si>
  <si>
    <t>F. Bruin</t>
  </si>
  <si>
    <t>G. Bruin</t>
  </si>
  <si>
    <t>H. Bruin</t>
  </si>
  <si>
    <t>I. Bruin</t>
  </si>
  <si>
    <t>K. Bruin</t>
  </si>
  <si>
    <t xml:space="preserve">DETERMINING FACULTY AND TA COMPENSATIONS </t>
  </si>
  <si>
    <t>REVENUE SCENARIOS</t>
  </si>
  <si>
    <t>Gross Revenue, Deductions, and Department Revenue</t>
  </si>
  <si>
    <t>Review Instructions (the first tab).</t>
  </si>
  <si>
    <t>Use this simulation sheet to test different expense and enrollment scenarios and see how they affect revenue</t>
  </si>
  <si>
    <t>RTA PER UNIT</t>
  </si>
  <si>
    <t>Insert additional rows before the grand total row, if needed, copying formula from the previous row (not from the grand total row).</t>
  </si>
  <si>
    <t xml:space="preserve">The cells shaded in blue or green contain formulas and will automatically calculate revenue or deduction amounts based on unit, enrollment, and/or instructional expense scenarios you enter. </t>
  </si>
  <si>
    <t>INSTRUCTIONS FOR DEPARTMENT REVENUE SIMULATION FOR COURSES</t>
  </si>
  <si>
    <t xml:space="preserve">* The cells shaded in blue or green contain formulas and will automatically calculate revenue or deduction amounts based on unit, enrollment, and/or instructional expense scenarios you enter. </t>
  </si>
  <si>
    <t xml:space="preserve">* Review the examples below to become familiar with how the revenue simulation sheet. </t>
  </si>
  <si>
    <t>* Use the simulation tab (the second tab) to test different expense and enrollment scenarios and see how they affect revenue.</t>
  </si>
  <si>
    <t xml:space="preserve"> </t>
  </si>
  <si>
    <t>Dept</t>
  </si>
  <si>
    <r>
      <rPr>
        <b/>
        <sz val="11"/>
        <rFont val="Calibri"/>
        <family val="2"/>
        <scheme val="minor"/>
      </rPr>
      <t xml:space="preserve">Dept Revenue </t>
    </r>
    <r>
      <rPr>
        <b/>
        <sz val="10"/>
        <rFont val="Calibri"/>
        <family val="2"/>
        <scheme val="minor"/>
      </rPr>
      <t xml:space="preserve">
minus Expenses</t>
    </r>
  </si>
  <si>
    <t>Summer Sessions Planning Site:</t>
  </si>
  <si>
    <t>Links:</t>
  </si>
  <si>
    <t>To calculate summer faculty compensation, enter 9-month annual in the cell shaded in orange below.</t>
  </si>
  <si>
    <t>(NB: Variable-unit courses have their maximum unit value, not enrolled units, listed in the enrollment sheet.)</t>
  </si>
  <si>
    <r>
      <t>UCLA and Other UC Undergraduate and Graduate Enrollments:</t>
    </r>
    <r>
      <rPr>
        <i/>
        <sz val="11"/>
        <rFont val="Calibri"/>
        <family val="2"/>
        <scheme val="minor"/>
      </rPr>
      <t xml:space="preserve">  Unit Fees - RTA – Fee Differential - Overhead = Department Revenue before Instructional Cost</t>
    </r>
  </si>
  <si>
    <r>
      <t xml:space="preserve">Non-UC Undergraduate and Graduate Enrollments:  </t>
    </r>
    <r>
      <rPr>
        <i/>
        <sz val="11"/>
        <rFont val="Calibri"/>
        <family val="2"/>
        <scheme val="minor"/>
      </rPr>
      <t>Unit Fees – Fee Differential - Overhead = Department Revenue before Instructional Cost</t>
    </r>
  </si>
  <si>
    <t xml:space="preserve">Fee Differential and Overhead </t>
  </si>
  <si>
    <t>Fee Differential + Overhead</t>
  </si>
  <si>
    <t>FEE DIFFERENTIAL + OVERHEAD PER UNIT (ALL STUDENT TYPES)</t>
  </si>
  <si>
    <t>DEPT. REVENUE PER UNIT ESTIMATE</t>
  </si>
  <si>
    <t>FEE DIFFERENTIAL + OVERHEAD PER UNIT ESTIMATE</t>
  </si>
  <si>
    <t xml:space="preserve">Fee Differential and campus expenses evenly distributed over student credit hours based on revenue enrollment snapshots. </t>
  </si>
  <si>
    <t>Sub 3</t>
  </si>
  <si>
    <t xml:space="preserve">This simulation sheet is for planning purposes only.  Actual department revenue and net revenue will depend on actual enrollments, expenses, and deductions. </t>
  </si>
  <si>
    <r>
      <rPr>
        <b/>
        <sz val="11"/>
        <rFont val="Calibri"/>
        <family val="2"/>
        <scheme val="minor"/>
      </rPr>
      <t>Department Revenue (DR)</t>
    </r>
    <r>
      <rPr>
        <sz val="11"/>
        <rFont val="Calibri"/>
        <family val="2"/>
        <scheme val="minor"/>
      </rPr>
      <t xml:space="preserve">: sum of revenue after RTA/Fee Differential/Overhead deductions </t>
    </r>
  </si>
  <si>
    <t xml:space="preserve">Per APB, revenue sharing will continue with the pre-BBM model. </t>
  </si>
  <si>
    <t>* To simulate revenue based on the most current enrollments, please refer to the enrollment posted on the Planning Site.</t>
  </si>
  <si>
    <t>* You will use the cells shaded in golden yellow to calculate faculty compensation or try out different expense and enrollment scenarios.  &gt;&gt;&gt;</t>
  </si>
  <si>
    <t xml:space="preserve">Please use the cells shaded in golden yellow to calculate faculty compensation or try out different expense and enrollment scenarios. </t>
  </si>
  <si>
    <t>Link</t>
  </si>
  <si>
    <t>To simulate revenue based on the most current enrollments, please refer to the enrollment posted on the Planning Site.</t>
  </si>
  <si>
    <t>Updated</t>
  </si>
  <si>
    <t xml:space="preserve">Campus leadership announced in early April 2022 that we will not be adopting the new budget model starting 7/1/22, but instead we will be deferring it to a future date.  </t>
  </si>
  <si>
    <t xml:space="preserve">Assistant (title code 2310)
(annual 73,000)
Increment 1
</t>
  </si>
  <si>
    <t>Assistant (title code 2310)
(annual 75,190)
Increment 2</t>
  </si>
  <si>
    <t>Assistant (title code 2310)
(annual 77,446)
Increment 3</t>
  </si>
  <si>
    <t>Associate (title code 1506)
(annual 83,573)</t>
  </si>
  <si>
    <t>Fellow (title code 2300)
(annual 86,644)</t>
  </si>
  <si>
    <t>TA rates effective October 1, 2024</t>
  </si>
  <si>
    <t>Assistant (title code 2310)
(annual 73,000)
Increment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</si>
</sst>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38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color rgb="FF000000"/>
      <name val="Tahoma"/>
      <family val="2"/>
    </font>
    <font>
      <b/>
      <sz val="14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Tahoma"/>
      <family val="2"/>
    </font>
    <font>
      <sz val="10"/>
      <color rgb="FF000000"/>
      <name val="Tahoma"/>
      <family val="2"/>
    </font>
    <font>
      <b/>
      <sz val="14"/>
      <color theme="0"/>
      <name val="Calibri (Body)"/>
    </font>
    <font>
      <b/>
      <i/>
      <sz val="11"/>
      <name val="Calibri"/>
      <family val="2"/>
      <scheme val="minor"/>
    </font>
    <font>
      <b/>
      <sz val="8"/>
      <name val="Calibri"/>
      <family val="2"/>
      <scheme val="minor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i/>
      <sz val="10"/>
      <name val="Calibri"/>
      <family val="2"/>
      <scheme val="minor"/>
    </font>
    <font>
      <b/>
      <i/>
      <sz val="8"/>
      <name val="Calibri (Body)"/>
    </font>
    <font>
      <b/>
      <i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9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 (Body)"/>
    </font>
    <font>
      <b/>
      <sz val="12"/>
      <color theme="0"/>
      <name val="Calibri"/>
      <family val="2"/>
      <scheme val="minor"/>
    </font>
    <font>
      <b/>
      <sz val="11"/>
      <color theme="1"/>
      <name val="Calibri (Body)"/>
    </font>
    <font>
      <b/>
      <sz val="16"/>
      <color theme="3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3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/>
      <top/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indexed="64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/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 style="medium">
        <color theme="0" tint="-0.499984740745262"/>
      </bottom>
      <diagonal/>
    </border>
    <border>
      <left/>
      <right/>
      <top style="thin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366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37" fontId="2" fillId="0" borderId="0" xfId="0" applyNumberFormat="1" applyFont="1"/>
    <xf numFmtId="0" fontId="9" fillId="0" borderId="0" xfId="0" applyFont="1" applyFill="1" applyBorder="1"/>
    <xf numFmtId="0" fontId="8" fillId="0" borderId="0" xfId="0" applyNumberFormat="1" applyFont="1" applyFill="1" applyBorder="1"/>
    <xf numFmtId="0" fontId="9" fillId="0" borderId="0" xfId="0" applyFont="1"/>
    <xf numFmtId="0" fontId="8" fillId="0" borderId="0" xfId="0" applyNumberFormat="1" applyFont="1"/>
    <xf numFmtId="0" fontId="9" fillId="0" borderId="0" xfId="0" applyNumberFormat="1" applyFont="1" applyBorder="1"/>
    <xf numFmtId="0" fontId="10" fillId="0" borderId="0" xfId="0" applyFont="1"/>
    <xf numFmtId="0" fontId="9" fillId="0" borderId="0" xfId="0" applyFont="1" applyBorder="1"/>
    <xf numFmtId="0" fontId="3" fillId="0" borderId="0" xfId="0" applyFont="1"/>
    <xf numFmtId="37" fontId="3" fillId="0" borderId="0" xfId="0" applyNumberFormat="1" applyFont="1"/>
    <xf numFmtId="0" fontId="2" fillId="0" borderId="0" xfId="0" applyFont="1" applyBorder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5" fillId="0" borderId="0" xfId="0" applyFont="1"/>
    <xf numFmtId="1" fontId="9" fillId="0" borderId="0" xfId="0" applyNumberFormat="1" applyFont="1" applyBorder="1" applyAlignment="1">
      <alignment horizontal="right"/>
    </xf>
    <xf numFmtId="0" fontId="10" fillId="0" borderId="0" xfId="0" applyNumberFormat="1" applyFont="1" applyBorder="1"/>
    <xf numFmtId="0" fontId="5" fillId="2" borderId="2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vertical="top" wrapText="1"/>
    </xf>
    <xf numFmtId="0" fontId="5" fillId="2" borderId="26" xfId="0" applyFont="1" applyFill="1" applyBorder="1" applyAlignment="1">
      <alignment horizontal="center"/>
    </xf>
    <xf numFmtId="5" fontId="5" fillId="0" borderId="27" xfId="0" applyNumberFormat="1" applyFont="1" applyFill="1" applyBorder="1" applyAlignment="1">
      <alignment horizontal="center"/>
    </xf>
    <xf numFmtId="5" fontId="5" fillId="0" borderId="8" xfId="0" applyNumberFormat="1" applyFont="1" applyFill="1" applyBorder="1" applyAlignment="1">
      <alignment horizontal="center"/>
    </xf>
    <xf numFmtId="5" fontId="5" fillId="0" borderId="3" xfId="0" applyNumberFormat="1" applyFont="1" applyFill="1" applyBorder="1" applyAlignment="1">
      <alignment horizontal="center"/>
    </xf>
    <xf numFmtId="5" fontId="5" fillId="0" borderId="4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9" fontId="5" fillId="5" borderId="3" xfId="0" applyNumberFormat="1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/>
    </xf>
    <xf numFmtId="37" fontId="5" fillId="5" borderId="15" xfId="0" applyNumberFormat="1" applyFont="1" applyFill="1" applyBorder="1" applyProtection="1">
      <protection locked="0"/>
    </xf>
    <xf numFmtId="37" fontId="5" fillId="5" borderId="20" xfId="0" applyNumberFormat="1" applyFont="1" applyFill="1" applyBorder="1" applyProtection="1">
      <protection locked="0"/>
    </xf>
    <xf numFmtId="37" fontId="5" fillId="5" borderId="15" xfId="1" applyNumberFormat="1" applyFont="1" applyFill="1" applyBorder="1"/>
    <xf numFmtId="37" fontId="5" fillId="5" borderId="20" xfId="1" applyNumberFormat="1" applyFont="1" applyFill="1" applyBorder="1" applyProtection="1">
      <protection locked="0"/>
    </xf>
    <xf numFmtId="0" fontId="21" fillId="0" borderId="0" xfId="0" applyFont="1"/>
    <xf numFmtId="37" fontId="22" fillId="3" borderId="32" xfId="0" applyNumberFormat="1" applyFont="1" applyFill="1" applyBorder="1" applyProtection="1">
      <protection locked="0"/>
    </xf>
    <xf numFmtId="37" fontId="22" fillId="3" borderId="32" xfId="0" applyNumberFormat="1" applyFont="1" applyFill="1" applyBorder="1"/>
    <xf numFmtId="37" fontId="5" fillId="3" borderId="15" xfId="0" applyNumberFormat="1" applyFont="1" applyFill="1" applyBorder="1"/>
    <xf numFmtId="37" fontId="5" fillId="3" borderId="20" xfId="0" applyNumberFormat="1" applyFont="1" applyFill="1" applyBorder="1"/>
    <xf numFmtId="37" fontId="18" fillId="3" borderId="29" xfId="0" applyNumberFormat="1" applyFont="1" applyFill="1" applyBorder="1"/>
    <xf numFmtId="37" fontId="5" fillId="3" borderId="20" xfId="1" applyNumberFormat="1" applyFont="1" applyFill="1" applyBorder="1"/>
    <xf numFmtId="37" fontId="22" fillId="3" borderId="26" xfId="1" applyNumberFormat="1" applyFont="1" applyFill="1" applyBorder="1"/>
    <xf numFmtId="37" fontId="22" fillId="3" borderId="38" xfId="0" applyNumberFormat="1" applyFont="1" applyFill="1" applyBorder="1"/>
    <xf numFmtId="37" fontId="18" fillId="3" borderId="29" xfId="1" applyNumberFormat="1" applyFont="1" applyFill="1" applyBorder="1"/>
    <xf numFmtId="37" fontId="18" fillId="3" borderId="40" xfId="0" applyNumberFormat="1" applyFont="1" applyFill="1" applyBorder="1"/>
    <xf numFmtId="1" fontId="5" fillId="5" borderId="20" xfId="2" applyNumberFormat="1" applyFont="1" applyFill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/>
    <xf numFmtId="0" fontId="10" fillId="0" borderId="0" xfId="0" applyFont="1" applyBorder="1"/>
    <xf numFmtId="0" fontId="23" fillId="0" borderId="0" xfId="3" applyFont="1" applyBorder="1"/>
    <xf numFmtId="0" fontId="9" fillId="2" borderId="0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5" fontId="9" fillId="0" borderId="8" xfId="0" applyNumberFormat="1" applyFont="1" applyFill="1" applyBorder="1" applyAlignment="1">
      <alignment horizontal="center"/>
    </xf>
    <xf numFmtId="0" fontId="25" fillId="0" borderId="0" xfId="0" applyFont="1" applyBorder="1"/>
    <xf numFmtId="0" fontId="26" fillId="0" borderId="0" xfId="0" applyFont="1"/>
    <xf numFmtId="0" fontId="24" fillId="0" borderId="0" xfId="3" applyFont="1" applyBorder="1"/>
    <xf numFmtId="0" fontId="5" fillId="0" borderId="0" xfId="0" applyFont="1" applyBorder="1"/>
    <xf numFmtId="0" fontId="8" fillId="0" borderId="0" xfId="0" applyFont="1" applyFill="1" applyBorder="1"/>
    <xf numFmtId="0" fontId="14" fillId="0" borderId="0" xfId="0" applyFont="1" applyBorder="1"/>
    <xf numFmtId="0" fontId="14" fillId="0" borderId="0" xfId="0" applyNumberFormat="1" applyFont="1" applyBorder="1"/>
    <xf numFmtId="1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/>
    <xf numFmtId="0" fontId="8" fillId="0" borderId="0" xfId="0" applyFont="1" applyBorder="1"/>
    <xf numFmtId="0" fontId="24" fillId="0" borderId="0" xfId="3" applyFont="1" applyFill="1" applyBorder="1"/>
    <xf numFmtId="0" fontId="23" fillId="0" borderId="0" xfId="3" applyFont="1" applyFill="1" applyBorder="1"/>
    <xf numFmtId="0" fontId="5" fillId="2" borderId="2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9" fillId="0" borderId="44" xfId="0" applyFont="1" applyBorder="1" applyAlignment="1">
      <alignment vertical="center"/>
    </xf>
    <xf numFmtId="0" fontId="2" fillId="0" borderId="45" xfId="0" applyFont="1" applyBorder="1"/>
    <xf numFmtId="0" fontId="14" fillId="0" borderId="44" xfId="0" applyFont="1" applyBorder="1" applyAlignment="1">
      <alignment horizontal="left" vertical="center" indent="9"/>
    </xf>
    <xf numFmtId="5" fontId="9" fillId="0" borderId="51" xfId="0" applyNumberFormat="1" applyFont="1" applyBorder="1" applyAlignment="1">
      <alignment horizontal="center"/>
    </xf>
    <xf numFmtId="5" fontId="9" fillId="0" borderId="52" xfId="0" applyNumberFormat="1" applyFont="1" applyBorder="1" applyAlignment="1">
      <alignment horizontal="center"/>
    </xf>
    <xf numFmtId="7" fontId="9" fillId="0" borderId="51" xfId="0" applyNumberFormat="1" applyFont="1" applyBorder="1" applyAlignment="1">
      <alignment horizontal="center"/>
    </xf>
    <xf numFmtId="7" fontId="9" fillId="0" borderId="54" xfId="0" applyNumberFormat="1" applyFont="1" applyBorder="1" applyAlignment="1">
      <alignment horizontal="center"/>
    </xf>
    <xf numFmtId="0" fontId="8" fillId="0" borderId="44" xfId="0" applyNumberFormat="1" applyFont="1" applyFill="1" applyBorder="1"/>
    <xf numFmtId="0" fontId="9" fillId="0" borderId="45" xfId="0" applyFont="1" applyBorder="1" applyAlignment="1">
      <alignment horizontal="right"/>
    </xf>
    <xf numFmtId="0" fontId="8" fillId="0" borderId="45" xfId="0" applyFont="1" applyBorder="1" applyAlignment="1">
      <alignment horizontal="right"/>
    </xf>
    <xf numFmtId="0" fontId="24" fillId="0" borderId="46" xfId="3" applyNumberFormat="1" applyFont="1" applyFill="1" applyBorder="1"/>
    <xf numFmtId="0" fontId="24" fillId="0" borderId="47" xfId="3" applyFont="1" applyBorder="1"/>
    <xf numFmtId="0" fontId="8" fillId="0" borderId="47" xfId="0" applyFont="1" applyBorder="1"/>
    <xf numFmtId="0" fontId="14" fillId="0" borderId="47" xfId="0" applyFont="1" applyBorder="1"/>
    <xf numFmtId="0" fontId="14" fillId="0" borderId="48" xfId="0" applyFont="1" applyBorder="1"/>
    <xf numFmtId="7" fontId="9" fillId="0" borderId="52" xfId="0" applyNumberFormat="1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9" fillId="2" borderId="13" xfId="0" applyNumberFormat="1" applyFont="1" applyFill="1" applyBorder="1" applyAlignment="1">
      <alignment horizontal="center"/>
    </xf>
    <xf numFmtId="0" fontId="9" fillId="2" borderId="25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 vertical="top" wrapText="1"/>
    </xf>
    <xf numFmtId="0" fontId="9" fillId="2" borderId="32" xfId="0" applyFont="1" applyFill="1" applyBorder="1" applyAlignment="1">
      <alignment vertical="top" wrapText="1"/>
    </xf>
    <xf numFmtId="0" fontId="9" fillId="2" borderId="59" xfId="0" applyFont="1" applyFill="1" applyBorder="1" applyAlignment="1">
      <alignment horizontal="center"/>
    </xf>
    <xf numFmtId="5" fontId="9" fillId="0" borderId="28" xfId="0" applyNumberFormat="1" applyFont="1" applyFill="1" applyBorder="1" applyAlignment="1">
      <alignment horizontal="center"/>
    </xf>
    <xf numFmtId="49" fontId="9" fillId="0" borderId="60" xfId="0" applyNumberFormat="1" applyFont="1" applyFill="1" applyBorder="1"/>
    <xf numFmtId="0" fontId="9" fillId="0" borderId="61" xfId="0" applyFont="1" applyFill="1" applyBorder="1"/>
    <xf numFmtId="49" fontId="9" fillId="0" borderId="63" xfId="0" applyNumberFormat="1" applyFont="1" applyFill="1" applyBorder="1"/>
    <xf numFmtId="0" fontId="9" fillId="0" borderId="64" xfId="0" applyFont="1" applyFill="1" applyBorder="1"/>
    <xf numFmtId="49" fontId="9" fillId="0" borderId="66" xfId="0" applyNumberFormat="1" applyFont="1" applyFill="1" applyBorder="1"/>
    <xf numFmtId="0" fontId="9" fillId="0" borderId="67" xfId="0" applyFont="1" applyFill="1" applyBorder="1"/>
    <xf numFmtId="37" fontId="9" fillId="5" borderId="60" xfId="0" applyNumberFormat="1" applyFont="1" applyFill="1" applyBorder="1" applyProtection="1">
      <protection locked="0"/>
    </xf>
    <xf numFmtId="37" fontId="9" fillId="5" borderId="61" xfId="0" applyNumberFormat="1" applyFont="1" applyFill="1" applyBorder="1" applyProtection="1">
      <protection locked="0"/>
    </xf>
    <xf numFmtId="37" fontId="9" fillId="3" borderId="62" xfId="0" applyNumberFormat="1" applyFont="1" applyFill="1" applyBorder="1" applyProtection="1">
      <protection locked="0"/>
    </xf>
    <xf numFmtId="37" fontId="9" fillId="5" borderId="63" xfId="0" applyNumberFormat="1" applyFont="1" applyFill="1" applyBorder="1" applyProtection="1">
      <protection locked="0"/>
    </xf>
    <xf numFmtId="37" fontId="9" fillId="5" borderId="64" xfId="0" applyNumberFormat="1" applyFont="1" applyFill="1" applyBorder="1" applyProtection="1">
      <protection locked="0"/>
    </xf>
    <xf numFmtId="37" fontId="9" fillId="3" borderId="65" xfId="0" applyNumberFormat="1" applyFont="1" applyFill="1" applyBorder="1" applyProtection="1">
      <protection locked="0"/>
    </xf>
    <xf numFmtId="37" fontId="9" fillId="5" borderId="66" xfId="0" applyNumberFormat="1" applyFont="1" applyFill="1" applyBorder="1" applyProtection="1">
      <protection locked="0"/>
    </xf>
    <xf numFmtId="37" fontId="9" fillId="5" borderId="67" xfId="0" applyNumberFormat="1" applyFont="1" applyFill="1" applyBorder="1" applyProtection="1">
      <protection locked="0"/>
    </xf>
    <xf numFmtId="37" fontId="9" fillId="3" borderId="68" xfId="0" applyNumberFormat="1" applyFont="1" applyFill="1" applyBorder="1" applyProtection="1">
      <protection locked="0"/>
    </xf>
    <xf numFmtId="37" fontId="9" fillId="3" borderId="60" xfId="0" applyNumberFormat="1" applyFont="1" applyFill="1" applyBorder="1"/>
    <xf numFmtId="37" fontId="9" fillId="3" borderId="61" xfId="0" applyNumberFormat="1" applyFont="1" applyFill="1" applyBorder="1"/>
    <xf numFmtId="37" fontId="10" fillId="3" borderId="62" xfId="0" applyNumberFormat="1" applyFont="1" applyFill="1" applyBorder="1"/>
    <xf numFmtId="37" fontId="9" fillId="3" borderId="63" xfId="0" applyNumberFormat="1" applyFont="1" applyFill="1" applyBorder="1"/>
    <xf numFmtId="37" fontId="9" fillId="3" borderId="64" xfId="0" applyNumberFormat="1" applyFont="1" applyFill="1" applyBorder="1"/>
    <xf numFmtId="37" fontId="10" fillId="3" borderId="65" xfId="0" applyNumberFormat="1" applyFont="1" applyFill="1" applyBorder="1"/>
    <xf numFmtId="37" fontId="9" fillId="3" borderId="66" xfId="0" applyNumberFormat="1" applyFont="1" applyFill="1" applyBorder="1"/>
    <xf numFmtId="37" fontId="9" fillId="3" borderId="67" xfId="0" applyNumberFormat="1" applyFont="1" applyFill="1" applyBorder="1"/>
    <xf numFmtId="37" fontId="10" fillId="3" borderId="68" xfId="0" applyNumberFormat="1" applyFont="1" applyFill="1" applyBorder="1"/>
    <xf numFmtId="37" fontId="9" fillId="5" borderId="60" xfId="1" applyNumberFormat="1" applyFont="1" applyFill="1" applyBorder="1"/>
    <xf numFmtId="37" fontId="9" fillId="5" borderId="61" xfId="1" applyNumberFormat="1" applyFont="1" applyFill="1" applyBorder="1" applyProtection="1">
      <protection locked="0"/>
    </xf>
    <xf numFmtId="37" fontId="9" fillId="3" borderId="61" xfId="1" applyNumberFormat="1" applyFont="1" applyFill="1" applyBorder="1"/>
    <xf numFmtId="37" fontId="10" fillId="3" borderId="62" xfId="1" applyNumberFormat="1" applyFont="1" applyFill="1" applyBorder="1"/>
    <xf numFmtId="37" fontId="9" fillId="5" borderId="63" xfId="1" applyNumberFormat="1" applyFont="1" applyFill="1" applyBorder="1"/>
    <xf numFmtId="37" fontId="9" fillId="5" borderId="64" xfId="1" applyNumberFormat="1" applyFont="1" applyFill="1" applyBorder="1" applyProtection="1">
      <protection locked="0"/>
    </xf>
    <xf numFmtId="37" fontId="9" fillId="3" borderId="64" xfId="1" applyNumberFormat="1" applyFont="1" applyFill="1" applyBorder="1"/>
    <xf numFmtId="37" fontId="10" fillId="3" borderId="65" xfId="1" applyNumberFormat="1" applyFont="1" applyFill="1" applyBorder="1"/>
    <xf numFmtId="37" fontId="9" fillId="5" borderId="66" xfId="1" applyNumberFormat="1" applyFont="1" applyFill="1" applyBorder="1"/>
    <xf numFmtId="37" fontId="9" fillId="5" borderId="67" xfId="1" applyNumberFormat="1" applyFont="1" applyFill="1" applyBorder="1" applyProtection="1">
      <protection locked="0"/>
    </xf>
    <xf numFmtId="37" fontId="9" fillId="3" borderId="67" xfId="1" applyNumberFormat="1" applyFont="1" applyFill="1" applyBorder="1"/>
    <xf numFmtId="37" fontId="10" fillId="3" borderId="68" xfId="1" applyNumberFormat="1" applyFont="1" applyFill="1" applyBorder="1"/>
    <xf numFmtId="37" fontId="10" fillId="3" borderId="69" xfId="0" applyNumberFormat="1" applyFont="1" applyFill="1" applyBorder="1"/>
    <xf numFmtId="37" fontId="10" fillId="3" borderId="70" xfId="0" applyNumberFormat="1" applyFont="1" applyFill="1" applyBorder="1"/>
    <xf numFmtId="37" fontId="10" fillId="3" borderId="71" xfId="0" applyNumberFormat="1" applyFont="1" applyFill="1" applyBorder="1"/>
    <xf numFmtId="0" fontId="9" fillId="0" borderId="72" xfId="0" applyFont="1" applyBorder="1" applyAlignment="1">
      <alignment horizontal="center"/>
    </xf>
    <xf numFmtId="0" fontId="9" fillId="2" borderId="73" xfId="0" applyFont="1" applyFill="1" applyBorder="1" applyAlignment="1">
      <alignment horizontal="center"/>
    </xf>
    <xf numFmtId="0" fontId="8" fillId="3" borderId="74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10" fillId="2" borderId="78" xfId="0" applyFont="1" applyFill="1" applyBorder="1" applyAlignment="1">
      <alignment horizontal="center"/>
    </xf>
    <xf numFmtId="9" fontId="8" fillId="5" borderId="75" xfId="0" applyNumberFormat="1" applyFont="1" applyFill="1" applyBorder="1" applyAlignment="1">
      <alignment horizontal="center"/>
    </xf>
    <xf numFmtId="0" fontId="10" fillId="2" borderId="79" xfId="0" applyFont="1" applyFill="1" applyBorder="1" applyAlignment="1">
      <alignment horizontal="center"/>
    </xf>
    <xf numFmtId="0" fontId="16" fillId="0" borderId="0" xfId="3"/>
    <xf numFmtId="1" fontId="9" fillId="5" borderId="62" xfId="2" applyNumberFormat="1" applyFont="1" applyFill="1" applyBorder="1" applyAlignment="1">
      <alignment horizontal="center"/>
    </xf>
    <xf numFmtId="1" fontId="9" fillId="5" borderId="65" xfId="2" applyNumberFormat="1" applyFont="1" applyFill="1" applyBorder="1" applyAlignment="1">
      <alignment horizontal="center"/>
    </xf>
    <xf numFmtId="1" fontId="9" fillId="5" borderId="68" xfId="2" applyNumberFormat="1" applyFont="1" applyFill="1" applyBorder="1" applyAlignment="1">
      <alignment horizontal="center"/>
    </xf>
    <xf numFmtId="7" fontId="9" fillId="0" borderId="0" xfId="0" applyNumberFormat="1" applyFont="1" applyBorder="1" applyAlignment="1">
      <alignment horizontal="center"/>
    </xf>
    <xf numFmtId="0" fontId="10" fillId="6" borderId="37" xfId="0" applyFont="1" applyFill="1" applyBorder="1" applyAlignment="1">
      <alignment horizontal="center"/>
    </xf>
    <xf numFmtId="0" fontId="10" fillId="6" borderId="38" xfId="0" applyFont="1" applyFill="1" applyBorder="1" applyAlignment="1">
      <alignment horizontal="center"/>
    </xf>
    <xf numFmtId="0" fontId="3" fillId="6" borderId="0" xfId="0" applyFont="1" applyFill="1" applyAlignment="1"/>
    <xf numFmtId="0" fontId="2" fillId="6" borderId="0" xfId="0" applyFont="1" applyFill="1" applyAlignment="1"/>
    <xf numFmtId="0" fontId="2" fillId="6" borderId="0" xfId="0" applyFont="1" applyFill="1"/>
    <xf numFmtId="0" fontId="3" fillId="6" borderId="0" xfId="0" applyFont="1" applyFill="1"/>
    <xf numFmtId="0" fontId="2" fillId="6" borderId="0" xfId="0" applyFont="1" applyFill="1" applyAlignment="1">
      <alignment horizontal="left"/>
    </xf>
    <xf numFmtId="0" fontId="10" fillId="6" borderId="49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/>
    </xf>
    <xf numFmtId="0" fontId="9" fillId="6" borderId="44" xfId="0" applyFont="1" applyFill="1" applyBorder="1"/>
    <xf numFmtId="0" fontId="9" fillId="6" borderId="0" xfId="0" applyFont="1" applyFill="1" applyBorder="1"/>
    <xf numFmtId="0" fontId="3" fillId="6" borderId="0" xfId="0" applyFont="1" applyFill="1" applyBorder="1"/>
    <xf numFmtId="0" fontId="2" fillId="6" borderId="0" xfId="0" applyFont="1" applyFill="1" applyBorder="1"/>
    <xf numFmtId="0" fontId="2" fillId="6" borderId="45" xfId="0" applyFont="1" applyFill="1" applyBorder="1"/>
    <xf numFmtId="0" fontId="9" fillId="6" borderId="46" xfId="0" applyFont="1" applyFill="1" applyBorder="1"/>
    <xf numFmtId="0" fontId="9" fillId="6" borderId="47" xfId="0" applyFont="1" applyFill="1" applyBorder="1"/>
    <xf numFmtId="0" fontId="3" fillId="6" borderId="47" xfId="0" applyFont="1" applyFill="1" applyBorder="1"/>
    <xf numFmtId="0" fontId="2" fillId="6" borderId="47" xfId="0" applyFont="1" applyFill="1" applyBorder="1"/>
    <xf numFmtId="0" fontId="2" fillId="6" borderId="48" xfId="0" applyFont="1" applyFill="1" applyBorder="1"/>
    <xf numFmtId="0" fontId="10" fillId="6" borderId="58" xfId="0" applyFont="1" applyFill="1" applyBorder="1" applyAlignment="1">
      <alignment horizontal="center"/>
    </xf>
    <xf numFmtId="0" fontId="15" fillId="6" borderId="0" xfId="0" applyFont="1" applyFill="1" applyAlignment="1"/>
    <xf numFmtId="0" fontId="4" fillId="6" borderId="0" xfId="0" applyFont="1" applyFill="1" applyAlignment="1"/>
    <xf numFmtId="0" fontId="4" fillId="6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29" fillId="0" borderId="0" xfId="3" applyFont="1" applyBorder="1"/>
    <xf numFmtId="0" fontId="9" fillId="2" borderId="76" xfId="0" applyFont="1" applyFill="1" applyBorder="1" applyAlignment="1">
      <alignment horizontal="center" wrapText="1"/>
    </xf>
    <xf numFmtId="0" fontId="31" fillId="7" borderId="0" xfId="0" applyFont="1" applyFill="1" applyBorder="1" applyAlignment="1">
      <alignment horizontal="center"/>
    </xf>
    <xf numFmtId="0" fontId="5" fillId="2" borderId="27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8" borderId="37" xfId="0" applyFont="1" applyFill="1" applyBorder="1" applyAlignment="1">
      <alignment horizontal="center"/>
    </xf>
    <xf numFmtId="0" fontId="18" fillId="8" borderId="38" xfId="0" applyFont="1" applyFill="1" applyBorder="1" applyAlignment="1">
      <alignment horizontal="center"/>
    </xf>
    <xf numFmtId="0" fontId="28" fillId="7" borderId="44" xfId="0" applyFont="1" applyFill="1" applyBorder="1" applyAlignment="1">
      <alignment horizontal="left"/>
    </xf>
    <xf numFmtId="0" fontId="31" fillId="7" borderId="45" xfId="0" applyFont="1" applyFill="1" applyBorder="1" applyAlignment="1">
      <alignment horizontal="center"/>
    </xf>
    <xf numFmtId="0" fontId="10" fillId="6" borderId="44" xfId="0" applyFont="1" applyFill="1" applyBorder="1"/>
    <xf numFmtId="0" fontId="10" fillId="0" borderId="44" xfId="0" applyNumberFormat="1" applyFont="1" applyBorder="1"/>
    <xf numFmtId="0" fontId="10" fillId="0" borderId="46" xfId="0" applyNumberFormat="1" applyFont="1" applyBorder="1"/>
    <xf numFmtId="0" fontId="9" fillId="0" borderId="47" xfId="0" applyFont="1" applyBorder="1" applyAlignment="1">
      <alignment horizontal="right"/>
    </xf>
    <xf numFmtId="1" fontId="9" fillId="0" borderId="47" xfId="0" applyNumberFormat="1" applyFont="1" applyBorder="1" applyAlignment="1">
      <alignment horizontal="right"/>
    </xf>
    <xf numFmtId="0" fontId="9" fillId="0" borderId="48" xfId="0" applyFont="1" applyBorder="1" applyAlignment="1">
      <alignment horizontal="right"/>
    </xf>
    <xf numFmtId="0" fontId="10" fillId="0" borderId="80" xfId="0" applyNumberFormat="1" applyFont="1" applyBorder="1" applyAlignment="1">
      <alignment horizontal="left"/>
    </xf>
    <xf numFmtId="9" fontId="9" fillId="0" borderId="81" xfId="0" applyNumberFormat="1" applyFont="1" applyBorder="1" applyAlignment="1">
      <alignment horizontal="right" wrapText="1"/>
    </xf>
    <xf numFmtId="9" fontId="9" fillId="0" borderId="81" xfId="0" applyNumberFormat="1" applyFont="1" applyBorder="1" applyAlignment="1">
      <alignment horizontal="right"/>
    </xf>
    <xf numFmtId="9" fontId="9" fillId="0" borderId="82" xfId="0" applyNumberFormat="1" applyFont="1" applyBorder="1" applyAlignment="1">
      <alignment horizontal="right"/>
    </xf>
    <xf numFmtId="9" fontId="9" fillId="0" borderId="80" xfId="0" applyNumberFormat="1" applyFont="1" applyBorder="1" applyAlignment="1">
      <alignment horizontal="right"/>
    </xf>
    <xf numFmtId="0" fontId="10" fillId="6" borderId="85" xfId="0" applyFont="1" applyFill="1" applyBorder="1" applyAlignment="1">
      <alignment horizontal="center"/>
    </xf>
    <xf numFmtId="0" fontId="10" fillId="6" borderId="86" xfId="0" applyFont="1" applyFill="1" applyBorder="1" applyAlignment="1">
      <alignment horizontal="center"/>
    </xf>
    <xf numFmtId="0" fontId="10" fillId="6" borderId="88" xfId="0" applyFont="1" applyFill="1" applyBorder="1" applyAlignment="1">
      <alignment horizontal="center"/>
    </xf>
    <xf numFmtId="0" fontId="24" fillId="0" borderId="44" xfId="3" applyNumberFormat="1" applyFont="1" applyFill="1" applyBorder="1"/>
    <xf numFmtId="0" fontId="14" fillId="0" borderId="44" xfId="0" applyNumberFormat="1" applyFont="1" applyFill="1" applyBorder="1"/>
    <xf numFmtId="0" fontId="14" fillId="0" borderId="46" xfId="0" applyNumberFormat="1" applyFont="1" applyFill="1" applyBorder="1"/>
    <xf numFmtId="0" fontId="9" fillId="0" borderId="47" xfId="0" applyFont="1" applyBorder="1"/>
    <xf numFmtId="0" fontId="9" fillId="0" borderId="47" xfId="0" applyFont="1" applyFill="1" applyBorder="1"/>
    <xf numFmtId="0" fontId="10" fillId="0" borderId="47" xfId="0" applyFont="1" applyBorder="1"/>
    <xf numFmtId="0" fontId="10" fillId="0" borderId="47" xfId="0" applyNumberFormat="1" applyFont="1" applyBorder="1"/>
    <xf numFmtId="0" fontId="10" fillId="6" borderId="89" xfId="0" applyFont="1" applyFill="1" applyBorder="1" applyAlignment="1">
      <alignment horizontal="center"/>
    </xf>
    <xf numFmtId="5" fontId="9" fillId="0" borderId="54" xfId="0" applyNumberFormat="1" applyFont="1" applyBorder="1" applyAlignment="1">
      <alignment horizontal="center"/>
    </xf>
    <xf numFmtId="7" fontId="9" fillId="0" borderId="94" xfId="0" applyNumberFormat="1" applyFont="1" applyBorder="1" applyAlignment="1">
      <alignment horizontal="center"/>
    </xf>
    <xf numFmtId="7" fontId="9" fillId="0" borderId="95" xfId="0" applyNumberFormat="1" applyFont="1" applyBorder="1" applyAlignment="1">
      <alignment horizontal="center"/>
    </xf>
    <xf numFmtId="7" fontId="9" fillId="0" borderId="96" xfId="0" applyNumberFormat="1" applyFont="1" applyBorder="1" applyAlignment="1">
      <alignment horizontal="center"/>
    </xf>
    <xf numFmtId="0" fontId="10" fillId="6" borderId="97" xfId="0" applyFont="1" applyFill="1" applyBorder="1" applyAlignment="1">
      <alignment horizontal="center"/>
    </xf>
    <xf numFmtId="0" fontId="10" fillId="6" borderId="98" xfId="0" applyFont="1" applyFill="1" applyBorder="1" applyAlignment="1">
      <alignment horizontal="center"/>
    </xf>
    <xf numFmtId="0" fontId="8" fillId="0" borderId="44" xfId="0" applyNumberFormat="1" applyFont="1" applyFill="1" applyBorder="1" applyAlignment="1">
      <alignment horizontal="left" indent="1"/>
    </xf>
    <xf numFmtId="165" fontId="9" fillId="0" borderId="44" xfId="1" applyNumberFormat="1" applyFont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65" fontId="9" fillId="0" borderId="45" xfId="1" applyNumberFormat="1" applyFont="1" applyBorder="1" applyAlignment="1">
      <alignment horizontal="right"/>
    </xf>
    <xf numFmtId="165" fontId="9" fillId="0" borderId="46" xfId="1" applyNumberFormat="1" applyFont="1" applyBorder="1" applyAlignment="1">
      <alignment horizontal="right"/>
    </xf>
    <xf numFmtId="165" fontId="9" fillId="0" borderId="47" xfId="1" applyNumberFormat="1" applyFont="1" applyBorder="1" applyAlignment="1">
      <alignment horizontal="right"/>
    </xf>
    <xf numFmtId="165" fontId="9" fillId="0" borderId="48" xfId="1" applyNumberFormat="1" applyFont="1" applyBorder="1" applyAlignment="1">
      <alignment horizontal="right"/>
    </xf>
    <xf numFmtId="165" fontId="9" fillId="3" borderId="0" xfId="1" applyNumberFormat="1" applyFont="1" applyFill="1" applyBorder="1" applyAlignment="1">
      <alignment horizontal="right"/>
    </xf>
    <xf numFmtId="165" fontId="9" fillId="3" borderId="47" xfId="1" applyNumberFormat="1" applyFont="1" applyFill="1" applyBorder="1" applyAlignment="1">
      <alignment horizontal="right"/>
    </xf>
    <xf numFmtId="14" fontId="2" fillId="0" borderId="0" xfId="0" applyNumberFormat="1" applyFont="1"/>
    <xf numFmtId="0" fontId="2" fillId="0" borderId="0" xfId="0" applyFont="1" applyFill="1" applyBorder="1"/>
    <xf numFmtId="0" fontId="16" fillId="0" borderId="0" xfId="3" applyFont="1" applyBorder="1"/>
    <xf numFmtId="0" fontId="2" fillId="5" borderId="20" xfId="0" applyFont="1" applyFill="1" applyBorder="1"/>
    <xf numFmtId="0" fontId="5" fillId="3" borderId="99" xfId="0" applyFont="1" applyFill="1" applyBorder="1" applyAlignment="1">
      <alignment horizontal="center"/>
    </xf>
    <xf numFmtId="37" fontId="22" fillId="3" borderId="20" xfId="0" applyNumberFormat="1" applyFont="1" applyFill="1" applyBorder="1"/>
    <xf numFmtId="49" fontId="22" fillId="0" borderId="15" xfId="0" applyNumberFormat="1" applyFont="1" applyFill="1" applyBorder="1"/>
    <xf numFmtId="0" fontId="22" fillId="0" borderId="29" xfId="0" applyFont="1" applyFill="1" applyBorder="1"/>
    <xf numFmtId="49" fontId="22" fillId="0" borderId="101" xfId="0" applyNumberFormat="1" applyFont="1" applyFill="1" applyBorder="1"/>
    <xf numFmtId="0" fontId="22" fillId="0" borderId="32" xfId="0" applyFont="1" applyFill="1" applyBorder="1"/>
    <xf numFmtId="49" fontId="22" fillId="0" borderId="102" xfId="0" applyNumberFormat="1" applyFont="1" applyFill="1" applyBorder="1"/>
    <xf numFmtId="0" fontId="22" fillId="0" borderId="103" xfId="0" applyFont="1" applyFill="1" applyBorder="1"/>
    <xf numFmtId="1" fontId="33" fillId="5" borderId="5" xfId="2" applyNumberFormat="1" applyFont="1" applyFill="1" applyBorder="1" applyAlignment="1">
      <alignment horizontal="center"/>
    </xf>
    <xf numFmtId="37" fontId="33" fillId="3" borderId="9" xfId="0" applyNumberFormat="1" applyFont="1" applyFill="1" applyBorder="1"/>
    <xf numFmtId="37" fontId="33" fillId="3" borderId="100" xfId="0" applyNumberFormat="1" applyFont="1" applyFill="1" applyBorder="1"/>
    <xf numFmtId="37" fontId="18" fillId="3" borderId="29" xfId="0" applyNumberFormat="1" applyFont="1" applyFill="1" applyBorder="1" applyProtection="1">
      <protection locked="0"/>
    </xf>
    <xf numFmtId="37" fontId="33" fillId="5" borderId="33" xfId="1" applyNumberFormat="1" applyFont="1" applyFill="1" applyBorder="1"/>
    <xf numFmtId="37" fontId="33" fillId="5" borderId="21" xfId="1" applyNumberFormat="1" applyFont="1" applyFill="1" applyBorder="1" applyProtection="1">
      <protection locked="0"/>
    </xf>
    <xf numFmtId="37" fontId="33" fillId="3" borderId="21" xfId="1" applyNumberFormat="1" applyFont="1" applyFill="1" applyBorder="1"/>
    <xf numFmtId="0" fontId="9" fillId="5" borderId="20" xfId="0" applyFont="1" applyFill="1" applyBorder="1"/>
    <xf numFmtId="0" fontId="34" fillId="0" borderId="0" xfId="3" applyFont="1" applyBorder="1"/>
    <xf numFmtId="37" fontId="10" fillId="8" borderId="34" xfId="0" applyNumberFormat="1" applyFont="1" applyFill="1" applyBorder="1"/>
    <xf numFmtId="37" fontId="10" fillId="8" borderId="23" xfId="0" applyNumberFormat="1" applyFont="1" applyFill="1" applyBorder="1"/>
    <xf numFmtId="37" fontId="10" fillId="8" borderId="22" xfId="0" applyNumberFormat="1" applyFont="1" applyFill="1" applyBorder="1"/>
    <xf numFmtId="37" fontId="10" fillId="8" borderId="24" xfId="0" applyNumberFormat="1" applyFont="1" applyFill="1" applyBorder="1"/>
    <xf numFmtId="37" fontId="10" fillId="8" borderId="34" xfId="2" applyNumberFormat="1" applyFont="1" applyFill="1" applyBorder="1"/>
    <xf numFmtId="37" fontId="10" fillId="8" borderId="23" xfId="2" applyNumberFormat="1" applyFont="1" applyFill="1" applyBorder="1"/>
    <xf numFmtId="37" fontId="10" fillId="8" borderId="22" xfId="2" applyNumberFormat="1" applyFont="1" applyFill="1" applyBorder="1"/>
    <xf numFmtId="37" fontId="10" fillId="8" borderId="24" xfId="2" applyNumberFormat="1" applyFont="1" applyFill="1" applyBorder="1"/>
    <xf numFmtId="37" fontId="10" fillId="8" borderId="19" xfId="0" applyNumberFormat="1" applyFont="1" applyFill="1" applyBorder="1"/>
    <xf numFmtId="37" fontId="10" fillId="8" borderId="16" xfId="2" applyNumberFormat="1" applyFont="1" applyFill="1" applyBorder="1"/>
    <xf numFmtId="37" fontId="18" fillId="8" borderId="34" xfId="0" applyNumberFormat="1" applyFont="1" applyFill="1" applyBorder="1"/>
    <xf numFmtId="37" fontId="18" fillId="8" borderId="23" xfId="0" applyNumberFormat="1" applyFont="1" applyFill="1" applyBorder="1"/>
    <xf numFmtId="37" fontId="18" fillId="8" borderId="22" xfId="0" applyNumberFormat="1" applyFont="1" applyFill="1" applyBorder="1"/>
    <xf numFmtId="37" fontId="18" fillId="8" borderId="24" xfId="0" applyNumberFormat="1" applyFont="1" applyFill="1" applyBorder="1"/>
    <xf numFmtId="37" fontId="18" fillId="8" borderId="34" xfId="2" applyNumberFormat="1" applyFont="1" applyFill="1" applyBorder="1"/>
    <xf numFmtId="37" fontId="18" fillId="8" borderId="23" xfId="2" applyNumberFormat="1" applyFont="1" applyFill="1" applyBorder="1"/>
    <xf numFmtId="37" fontId="18" fillId="8" borderId="22" xfId="2" applyNumberFormat="1" applyFont="1" applyFill="1" applyBorder="1"/>
    <xf numFmtId="37" fontId="18" fillId="8" borderId="24" xfId="2" applyNumberFormat="1" applyFont="1" applyFill="1" applyBorder="1"/>
    <xf numFmtId="37" fontId="18" fillId="8" borderId="19" xfId="0" applyNumberFormat="1" applyFont="1" applyFill="1" applyBorder="1"/>
    <xf numFmtId="37" fontId="18" fillId="8" borderId="16" xfId="2" applyNumberFormat="1" applyFont="1" applyFill="1" applyBorder="1"/>
    <xf numFmtId="0" fontId="36" fillId="0" borderId="0" xfId="0" applyFont="1"/>
    <xf numFmtId="0" fontId="37" fillId="0" borderId="0" xfId="0" applyFont="1"/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8" fillId="8" borderId="17" xfId="0" applyNumberFormat="1" applyFont="1" applyFill="1" applyBorder="1" applyAlignment="1">
      <alignment horizontal="right"/>
    </xf>
    <xf numFmtId="0" fontId="18" fillId="8" borderId="18" xfId="0" applyNumberFormat="1" applyFont="1" applyFill="1" applyBorder="1" applyAlignment="1">
      <alignment horizontal="right"/>
    </xf>
    <xf numFmtId="0" fontId="18" fillId="8" borderId="19" xfId="0" applyNumberFormat="1" applyFont="1" applyFill="1" applyBorder="1" applyAlignment="1">
      <alignment horizontal="right"/>
    </xf>
    <xf numFmtId="0" fontId="7" fillId="7" borderId="41" xfId="0" applyFont="1" applyFill="1" applyBorder="1" applyAlignment="1">
      <alignment horizontal="center"/>
    </xf>
    <xf numFmtId="0" fontId="7" fillId="7" borderId="42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10" fillId="6" borderId="87" xfId="0" applyFont="1" applyFill="1" applyBorder="1" applyAlignment="1">
      <alignment horizontal="center"/>
    </xf>
    <xf numFmtId="0" fontId="10" fillId="6" borderId="82" xfId="0" applyFont="1" applyFill="1" applyBorder="1" applyAlignment="1">
      <alignment horizontal="center"/>
    </xf>
    <xf numFmtId="5" fontId="9" fillId="0" borderId="53" xfId="0" applyNumberFormat="1" applyFont="1" applyBorder="1" applyAlignment="1">
      <alignment horizontal="center"/>
    </xf>
    <xf numFmtId="5" fontId="9" fillId="0" borderId="48" xfId="0" applyNumberFormat="1" applyFont="1" applyBorder="1" applyAlignment="1">
      <alignment horizontal="center"/>
    </xf>
    <xf numFmtId="0" fontId="19" fillId="2" borderId="39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 wrapText="1"/>
    </xf>
    <xf numFmtId="0" fontId="18" fillId="8" borderId="10" xfId="0" applyNumberFormat="1" applyFont="1" applyFill="1" applyBorder="1" applyAlignment="1">
      <alignment horizontal="center" vertical="center"/>
    </xf>
    <xf numFmtId="0" fontId="18" fillId="8" borderId="11" xfId="0" applyNumberFormat="1" applyFont="1" applyFill="1" applyBorder="1" applyAlignment="1">
      <alignment horizontal="center" vertical="center"/>
    </xf>
    <xf numFmtId="0" fontId="18" fillId="8" borderId="12" xfId="0" applyNumberFormat="1" applyFont="1" applyFill="1" applyBorder="1" applyAlignment="1">
      <alignment horizontal="center" vertical="center"/>
    </xf>
    <xf numFmtId="0" fontId="18" fillId="8" borderId="25" xfId="0" applyNumberFormat="1" applyFont="1" applyFill="1" applyBorder="1" applyAlignment="1">
      <alignment horizontal="center" vertical="center"/>
    </xf>
    <xf numFmtId="0" fontId="18" fillId="8" borderId="4" xfId="0" applyNumberFormat="1" applyFont="1" applyFill="1" applyBorder="1" applyAlignment="1">
      <alignment horizontal="center" vertical="center"/>
    </xf>
    <xf numFmtId="0" fontId="18" fillId="8" borderId="26" xfId="0" applyNumberFormat="1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25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18" fillId="8" borderId="26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28" fillId="6" borderId="41" xfId="0" applyNumberFormat="1" applyFont="1" applyFill="1" applyBorder="1" applyAlignment="1">
      <alignment horizontal="center" vertical="center"/>
    </xf>
    <xf numFmtId="0" fontId="28" fillId="6" borderId="42" xfId="0" applyNumberFormat="1" applyFont="1" applyFill="1" applyBorder="1" applyAlignment="1">
      <alignment horizontal="center" vertical="center"/>
    </xf>
    <xf numFmtId="0" fontId="7" fillId="4" borderId="80" xfId="0" applyNumberFormat="1" applyFont="1" applyFill="1" applyBorder="1" applyAlignment="1">
      <alignment horizontal="center" vertical="center"/>
    </xf>
    <xf numFmtId="0" fontId="7" fillId="4" borderId="81" xfId="0" applyNumberFormat="1" applyFont="1" applyFill="1" applyBorder="1" applyAlignment="1">
      <alignment horizontal="center" vertical="center"/>
    </xf>
    <xf numFmtId="0" fontId="7" fillId="4" borderId="82" xfId="0" applyNumberFormat="1" applyFont="1" applyFill="1" applyBorder="1" applyAlignment="1">
      <alignment horizontal="center" vertical="center"/>
    </xf>
    <xf numFmtId="0" fontId="28" fillId="6" borderId="80" xfId="0" applyFont="1" applyFill="1" applyBorder="1" applyAlignment="1">
      <alignment horizontal="center"/>
    </xf>
    <xf numFmtId="0" fontId="28" fillId="6" borderId="81" xfId="0" applyFont="1" applyFill="1" applyBorder="1" applyAlignment="1">
      <alignment horizontal="center"/>
    </xf>
    <xf numFmtId="0" fontId="28" fillId="6" borderId="82" xfId="0" applyFont="1" applyFill="1" applyBorder="1" applyAlignment="1">
      <alignment horizontal="center"/>
    </xf>
    <xf numFmtId="0" fontId="13" fillId="7" borderId="41" xfId="0" applyFont="1" applyFill="1" applyBorder="1" applyAlignment="1">
      <alignment horizontal="center"/>
    </xf>
    <xf numFmtId="0" fontId="13" fillId="7" borderId="42" xfId="0" applyFont="1" applyFill="1" applyBorder="1" applyAlignment="1">
      <alignment horizontal="center"/>
    </xf>
    <xf numFmtId="0" fontId="13" fillId="7" borderId="43" xfId="0" applyFont="1" applyFill="1" applyBorder="1" applyAlignment="1">
      <alignment horizontal="center"/>
    </xf>
    <xf numFmtId="0" fontId="30" fillId="7" borderId="41" xfId="0" applyFont="1" applyFill="1" applyBorder="1" applyAlignment="1">
      <alignment horizontal="center" vertical="center" wrapText="1"/>
    </xf>
    <xf numFmtId="0" fontId="30" fillId="7" borderId="42" xfId="0" applyFont="1" applyFill="1" applyBorder="1" applyAlignment="1">
      <alignment horizontal="center" vertical="center" wrapText="1"/>
    </xf>
    <xf numFmtId="0" fontId="30" fillId="7" borderId="43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83" xfId="0" applyNumberFormat="1" applyFont="1" applyBorder="1" applyAlignment="1">
      <alignment horizontal="center" vertical="center" wrapText="1"/>
    </xf>
    <xf numFmtId="0" fontId="10" fillId="0" borderId="84" xfId="0" applyNumberFormat="1" applyFont="1" applyBorder="1" applyAlignment="1">
      <alignment horizontal="center" vertical="center" wrapText="1"/>
    </xf>
    <xf numFmtId="43" fontId="8" fillId="5" borderId="41" xfId="1" applyFont="1" applyFill="1" applyBorder="1" applyAlignment="1">
      <alignment horizontal="center" vertical="center"/>
    </xf>
    <xf numFmtId="43" fontId="8" fillId="5" borderId="43" xfId="1" applyFont="1" applyFill="1" applyBorder="1" applyAlignment="1">
      <alignment horizontal="center" vertical="center"/>
    </xf>
    <xf numFmtId="43" fontId="8" fillId="5" borderId="46" xfId="1" applyFont="1" applyFill="1" applyBorder="1" applyAlignment="1">
      <alignment horizontal="center" vertical="center"/>
    </xf>
    <xf numFmtId="43" fontId="8" fillId="5" borderId="48" xfId="1" applyFont="1" applyFill="1" applyBorder="1" applyAlignment="1">
      <alignment horizontal="center" vertical="center"/>
    </xf>
    <xf numFmtId="0" fontId="7" fillId="7" borderId="55" xfId="0" applyFont="1" applyFill="1" applyBorder="1" applyAlignment="1">
      <alignment horizontal="center"/>
    </xf>
    <xf numFmtId="0" fontId="7" fillId="7" borderId="56" xfId="0" applyFont="1" applyFill="1" applyBorder="1" applyAlignment="1">
      <alignment horizontal="center"/>
    </xf>
    <xf numFmtId="0" fontId="7" fillId="7" borderId="57" xfId="0" applyFont="1" applyFill="1" applyBorder="1" applyAlignment="1">
      <alignment horizontal="center"/>
    </xf>
    <xf numFmtId="0" fontId="7" fillId="7" borderId="41" xfId="0" applyFont="1" applyFill="1" applyBorder="1" applyAlignment="1">
      <alignment horizontal="center" vertical="center" wrapText="1"/>
    </xf>
    <xf numFmtId="0" fontId="7" fillId="7" borderId="42" xfId="0" applyFont="1" applyFill="1" applyBorder="1" applyAlignment="1">
      <alignment horizontal="center" vertical="center" wrapText="1"/>
    </xf>
    <xf numFmtId="0" fontId="7" fillId="7" borderId="43" xfId="0" applyFont="1" applyFill="1" applyBorder="1" applyAlignment="1">
      <alignment horizontal="center" vertical="center" wrapText="1"/>
    </xf>
    <xf numFmtId="0" fontId="7" fillId="7" borderId="9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50" xfId="0" applyFont="1" applyFill="1" applyBorder="1" applyAlignment="1">
      <alignment horizontal="center" vertical="center" wrapText="1"/>
    </xf>
    <xf numFmtId="7" fontId="9" fillId="0" borderId="91" xfId="0" applyNumberFormat="1" applyFont="1" applyBorder="1" applyAlignment="1">
      <alignment horizontal="center"/>
    </xf>
    <xf numFmtId="7" fontId="9" fillId="0" borderId="92" xfId="0" applyNumberFormat="1" applyFont="1" applyBorder="1" applyAlignment="1">
      <alignment horizontal="center"/>
    </xf>
    <xf numFmtId="7" fontId="9" fillId="0" borderId="93" xfId="0" applyNumberFormat="1" applyFont="1" applyBorder="1" applyAlignment="1">
      <alignment horizontal="center"/>
    </xf>
    <xf numFmtId="0" fontId="10" fillId="8" borderId="17" xfId="0" applyNumberFormat="1" applyFont="1" applyFill="1" applyBorder="1" applyAlignment="1">
      <alignment horizontal="right"/>
    </xf>
    <xf numFmtId="0" fontId="10" fillId="8" borderId="18" xfId="0" applyNumberFormat="1" applyFont="1" applyFill="1" applyBorder="1" applyAlignment="1">
      <alignment horizontal="right"/>
    </xf>
    <xf numFmtId="0" fontId="10" fillId="8" borderId="19" xfId="0" applyNumberFormat="1" applyFont="1" applyFill="1" applyBorder="1" applyAlignment="1">
      <alignment horizontal="right"/>
    </xf>
    <xf numFmtId="0" fontId="3" fillId="2" borderId="39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/>
    </xf>
    <xf numFmtId="0" fontId="7" fillId="4" borderId="56" xfId="0" applyFont="1" applyFill="1" applyBorder="1" applyAlignment="1">
      <alignment horizontal="center"/>
    </xf>
    <xf numFmtId="0" fontId="7" fillId="4" borderId="57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0" fillId="6" borderId="10" xfId="0" applyNumberFormat="1" applyFont="1" applyFill="1" applyBorder="1" applyAlignment="1">
      <alignment horizontal="center" vertical="center"/>
    </xf>
    <xf numFmtId="0" fontId="10" fillId="6" borderId="11" xfId="0" applyNumberFormat="1" applyFont="1" applyFill="1" applyBorder="1" applyAlignment="1">
      <alignment horizontal="center" vertical="center"/>
    </xf>
    <xf numFmtId="0" fontId="10" fillId="6" borderId="12" xfId="0" applyNumberFormat="1" applyFont="1" applyFill="1" applyBorder="1" applyAlignment="1">
      <alignment horizontal="center" vertical="center"/>
    </xf>
    <xf numFmtId="0" fontId="10" fillId="6" borderId="25" xfId="0" applyNumberFormat="1" applyFont="1" applyFill="1" applyBorder="1" applyAlignment="1">
      <alignment horizontal="center" vertical="center"/>
    </xf>
    <xf numFmtId="0" fontId="10" fillId="6" borderId="4" xfId="0" applyNumberFormat="1" applyFont="1" applyFill="1" applyBorder="1" applyAlignment="1">
      <alignment horizontal="center" vertical="center"/>
    </xf>
    <xf numFmtId="0" fontId="10" fillId="6" borderId="26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colors>
    <mruColors>
      <color rgb="FFB9A407"/>
      <color rgb="FFFBEF93"/>
      <color rgb="FFE9CE09"/>
      <color rgb="FFF6DA0E"/>
      <color rgb="FFF2DCDB"/>
      <color rgb="FFDCE6F1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10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203200</xdr:colOff>
      <xdr:row>29</xdr:row>
      <xdr:rowOff>177800</xdr:rowOff>
    </xdr:from>
    <xdr:to>
      <xdr:col>19</xdr:col>
      <xdr:colOff>127000</xdr:colOff>
      <xdr:row>36</xdr:row>
      <xdr:rowOff>63500</xdr:rowOff>
    </xdr:to>
    <xdr:grpSp>
      <xdr:nvGrpSpPr>
        <xdr:cNvPr id="78" name="Group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GrpSpPr/>
      </xdr:nvGrpSpPr>
      <xdr:grpSpPr>
        <a:xfrm>
          <a:off x="11669059" y="6148294"/>
          <a:ext cx="515470" cy="1149724"/>
          <a:chOff x="11144250" y="5067300"/>
          <a:chExt cx="514350" cy="1009650"/>
        </a:xfrm>
      </xdr:grpSpPr>
      <xdr:cxnSp macro="">
        <xdr:nvCxnSpPr>
          <xdr:cNvPr id="74" name="Straight Connector 7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CxnSpPr/>
        </xdr:nvCxnSpPr>
        <xdr:spPr>
          <a:xfrm>
            <a:off x="11134725" y="5076825"/>
            <a:ext cx="514350" cy="0"/>
          </a:xfrm>
          <a:prstGeom prst="line">
            <a:avLst/>
          </a:prstGeom>
          <a:solidFill>
            <a:srgbClr val="FBEF93"/>
          </a:solidFill>
          <a:ln>
            <a:solidFill>
              <a:srgbClr val="B9A407"/>
            </a:solidFill>
            <a:headEnd type="none" w="med" len="med"/>
            <a:tailEnd type="non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cxnSp macro="">
        <xdr:nvCxnSpPr>
          <xdr:cNvPr id="76" name="Straight Connector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CxnSpPr/>
        </xdr:nvCxnSpPr>
        <xdr:spPr>
          <a:xfrm>
            <a:off x="11658600" y="5057775"/>
            <a:ext cx="0" cy="1009650"/>
          </a:xfrm>
          <a:prstGeom prst="line">
            <a:avLst/>
          </a:prstGeom>
          <a:solidFill>
            <a:srgbClr val="FBEF93"/>
          </a:solidFill>
          <a:ln>
            <a:solidFill>
              <a:srgbClr val="B9A407"/>
            </a:solidFill>
            <a:headEnd type="none" w="med" len="med"/>
            <a:tailEnd type="none" w="med" len="me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</xdr:grpSp>
    <xdr:clientData/>
  </xdr:twoCellAnchor>
  <xdr:twoCellAnchor>
    <xdr:from>
      <xdr:col>16</xdr:col>
      <xdr:colOff>561976</xdr:colOff>
      <xdr:row>25</xdr:row>
      <xdr:rowOff>95250</xdr:rowOff>
    </xdr:from>
    <xdr:to>
      <xdr:col>19</xdr:col>
      <xdr:colOff>518161</xdr:colOff>
      <xdr:row>27</xdr:row>
      <xdr:rowOff>158115</xdr:rowOff>
    </xdr:to>
    <xdr:sp macro="" textlink="">
      <xdr:nvSpPr>
        <xdr:cNvPr id="40" name="Line Callout 3 (No Border)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1737976" y="4397375"/>
          <a:ext cx="1797685" cy="443865"/>
        </a:xfrm>
        <a:prstGeom prst="callout3">
          <a:avLst>
            <a:gd name="adj1" fmla="val 96023"/>
            <a:gd name="adj2" fmla="val 49325"/>
            <a:gd name="adj3" fmla="val 192871"/>
            <a:gd name="adj4" fmla="val 49405"/>
            <a:gd name="adj5" fmla="val 193417"/>
            <a:gd name="adj6" fmla="val 18822"/>
            <a:gd name="adj7" fmla="val 441406"/>
            <a:gd name="adj8" fmla="val 18144"/>
          </a:avLst>
        </a:prstGeom>
        <a:solidFill>
          <a:srgbClr val="FBEF93"/>
        </a:solidFill>
        <a:ln>
          <a:solidFill>
            <a:srgbClr val="B9A407"/>
          </a:solidFill>
          <a:headEnd type="oval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Add hourly and Sub 3 expenses, if applicable</a:t>
          </a:r>
          <a:endParaRPr lang="en-US">
            <a:solidFill>
              <a:sysClr val="windowText" lastClr="000000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222249</xdr:colOff>
      <xdr:row>26</xdr:row>
      <xdr:rowOff>110491</xdr:rowOff>
    </xdr:from>
    <xdr:to>
      <xdr:col>31</xdr:col>
      <xdr:colOff>117474</xdr:colOff>
      <xdr:row>30</xdr:row>
      <xdr:rowOff>43815</xdr:rowOff>
    </xdr:to>
    <xdr:sp macro="" textlink="">
      <xdr:nvSpPr>
        <xdr:cNvPr id="28" name="Line Callout 2 (No Border)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9589749" y="4603116"/>
          <a:ext cx="2181225" cy="695324"/>
        </a:xfrm>
        <a:prstGeom prst="callout2">
          <a:avLst>
            <a:gd name="adj1" fmla="val 52083"/>
            <a:gd name="adj2" fmla="val 835"/>
            <a:gd name="adj3" fmla="val 54100"/>
            <a:gd name="adj4" fmla="val -380176"/>
            <a:gd name="adj5" fmla="val 245783"/>
            <a:gd name="adj6" fmla="val -379246"/>
          </a:avLst>
        </a:prstGeom>
        <a:solidFill>
          <a:srgbClr val="FBEF93"/>
        </a:solidFill>
        <a:ln>
          <a:solidFill>
            <a:srgbClr val="B9A407"/>
          </a:solidFill>
          <a:headEnd type="oval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Look up TA compensation,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type the value in the TA column (column Q).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312420</xdr:colOff>
      <xdr:row>26</xdr:row>
      <xdr:rowOff>38100</xdr:rowOff>
    </xdr:from>
    <xdr:to>
      <xdr:col>11</xdr:col>
      <xdr:colOff>312420</xdr:colOff>
      <xdr:row>28</xdr:row>
      <xdr:rowOff>144780</xdr:rowOff>
    </xdr:to>
    <xdr:sp macro="" textlink="">
      <xdr:nvSpPr>
        <xdr:cNvPr id="18" name="Line Callout 2 (No Border)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82440" y="4328160"/>
          <a:ext cx="2202180" cy="472440"/>
        </a:xfrm>
        <a:prstGeom prst="callout2">
          <a:avLst>
            <a:gd name="adj1" fmla="val 52083"/>
            <a:gd name="adj2" fmla="val 835"/>
            <a:gd name="adj3" fmla="val 52083"/>
            <a:gd name="adj4" fmla="val -12002"/>
            <a:gd name="adj5" fmla="val 372960"/>
            <a:gd name="adj6" fmla="val -11411"/>
          </a:avLst>
        </a:prstGeom>
        <a:solidFill>
          <a:srgbClr val="FBEF93"/>
        </a:solidFill>
        <a:ln>
          <a:solidFill>
            <a:srgbClr val="B9A407"/>
          </a:solidFill>
          <a:headEnd type="oval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Enter enrollment numbers you’d like to use for </a:t>
          </a:r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simulation</a:t>
          </a:r>
        </a:p>
      </xdr:txBody>
    </xdr:sp>
    <xdr:clientData/>
  </xdr:twoCellAnchor>
  <xdr:twoCellAnchor>
    <xdr:from>
      <xdr:col>24</xdr:col>
      <xdr:colOff>408516</xdr:colOff>
      <xdr:row>36</xdr:row>
      <xdr:rowOff>224790</xdr:rowOff>
    </xdr:from>
    <xdr:to>
      <xdr:col>25</xdr:col>
      <xdr:colOff>126999</xdr:colOff>
      <xdr:row>37</xdr:row>
      <xdr:rowOff>167640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5587556" y="6336030"/>
          <a:ext cx="175683" cy="179070"/>
        </a:xfrm>
        <a:prstGeom prst="downArrow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 editAs="oneCell">
    <xdr:from>
      <xdr:col>15</xdr:col>
      <xdr:colOff>770620</xdr:colOff>
      <xdr:row>37</xdr:row>
      <xdr:rowOff>135000</xdr:rowOff>
    </xdr:from>
    <xdr:to>
      <xdr:col>15</xdr:col>
      <xdr:colOff>770980</xdr:colOff>
      <xdr:row>37</xdr:row>
      <xdr:rowOff>135360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8" name="Ink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14:cNvPr>
            <xdr14:cNvContentPartPr/>
          </xdr14:nvContentPartPr>
          <xdr14:nvPr macro=""/>
          <xdr14:xfrm>
            <a:off x="10663920" y="5621400"/>
            <a:ext cx="360" cy="360"/>
          </xdr14:xfrm>
        </xdr:contentPart>
      </mc:Choice>
      <mc:Fallback xmlns="">
        <xdr:pic>
          <xdr:nvPicPr>
            <xdr:cNvPr id="48" name="Ink 47">
              <a:extLst>
                <a:ext uri="{FF2B5EF4-FFF2-40B4-BE49-F238E27FC236}">
                  <a16:creationId xmlns:a16="http://schemas.microsoft.com/office/drawing/2014/main" id="{D9703830-3A32-9E47-982F-84418CE9D017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655280" y="5612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15</xdr:col>
      <xdr:colOff>977980</xdr:colOff>
      <xdr:row>39</xdr:row>
      <xdr:rowOff>64900</xdr:rowOff>
    </xdr:from>
    <xdr:to>
      <xdr:col>16</xdr:col>
      <xdr:colOff>2980</xdr:colOff>
      <xdr:row>39</xdr:row>
      <xdr:rowOff>65260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05" name="Ink 104">
              <a:extLst>
                <a:ext uri="{FF2B5EF4-FFF2-40B4-BE49-F238E27FC236}">
                  <a16:creationId xmlns:a16="http://schemas.microsoft.com/office/drawing/2014/main" id="{00000000-0008-0000-0000-000069000000}"/>
                </a:ext>
              </a:extLst>
            </xdr14:cNvPr>
            <xdr14:cNvContentPartPr/>
          </xdr14:nvContentPartPr>
          <xdr14:nvPr macro=""/>
          <xdr14:xfrm>
            <a:off x="10871280" y="6224400"/>
            <a:ext cx="360" cy="360"/>
          </xdr14:xfrm>
        </xdr:contentPart>
      </mc:Choice>
      <mc:Fallback xmlns="">
        <xdr:pic>
          <xdr:nvPicPr>
            <xdr:cNvPr id="105" name="Ink 104">
              <a:extLst>
                <a:ext uri="{FF2B5EF4-FFF2-40B4-BE49-F238E27FC236}">
                  <a16:creationId xmlns:a16="http://schemas.microsoft.com/office/drawing/2014/main" id="{033BCD3A-5998-4947-B1C2-E05CE68FA326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0853640" y="6206400"/>
              <a:ext cx="36000" cy="36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45720</xdr:colOff>
      <xdr:row>35</xdr:row>
      <xdr:rowOff>129540</xdr:rowOff>
    </xdr:from>
    <xdr:to>
      <xdr:col>2</xdr:col>
      <xdr:colOff>662940</xdr:colOff>
      <xdr:row>37</xdr:row>
      <xdr:rowOff>171674</xdr:rowOff>
    </xdr:to>
    <xdr:sp macro="" textlink="">
      <xdr:nvSpPr>
        <xdr:cNvPr id="13" name="Flowchart: Process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5720" y="7043569"/>
          <a:ext cx="1704191" cy="624840"/>
        </a:xfrm>
        <a:prstGeom prst="flowChartProcess">
          <a:avLst/>
        </a:prstGeom>
        <a:noFill/>
        <a:ln w="28575">
          <a:solidFill>
            <a:srgbClr val="B9A407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678180</xdr:colOff>
      <xdr:row>26</xdr:row>
      <xdr:rowOff>30480</xdr:rowOff>
    </xdr:from>
    <xdr:to>
      <xdr:col>4</xdr:col>
      <xdr:colOff>457200</xdr:colOff>
      <xdr:row>28</xdr:row>
      <xdr:rowOff>137160</xdr:rowOff>
    </xdr:to>
    <xdr:sp macro="" textlink="">
      <xdr:nvSpPr>
        <xdr:cNvPr id="5" name="Line Callout 2 (No Border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54380" y="4320540"/>
          <a:ext cx="2202180" cy="472440"/>
        </a:xfrm>
        <a:prstGeom prst="callout2">
          <a:avLst>
            <a:gd name="adj1" fmla="val 52083"/>
            <a:gd name="adj2" fmla="val 835"/>
            <a:gd name="adj3" fmla="val 52083"/>
            <a:gd name="adj4" fmla="val -12002"/>
            <a:gd name="adj5" fmla="val 364895"/>
            <a:gd name="adj6" fmla="val -12103"/>
          </a:avLst>
        </a:prstGeom>
        <a:solidFill>
          <a:srgbClr val="FBEF93"/>
        </a:solidFill>
        <a:ln>
          <a:solidFill>
            <a:srgbClr val="B9A407"/>
          </a:solidFill>
          <a:headEnd type="oval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Enter course info. These cells are not used for calculation</a:t>
          </a:r>
        </a:p>
      </xdr:txBody>
    </xdr:sp>
    <xdr:clientData/>
  </xdr:twoCellAnchor>
  <xdr:twoCellAnchor>
    <xdr:from>
      <xdr:col>3</xdr:col>
      <xdr:colOff>7620</xdr:colOff>
      <xdr:row>35</xdr:row>
      <xdr:rowOff>129540</xdr:rowOff>
    </xdr:from>
    <xdr:to>
      <xdr:col>3</xdr:col>
      <xdr:colOff>581025</xdr:colOff>
      <xdr:row>37</xdr:row>
      <xdr:rowOff>171674</xdr:rowOff>
    </xdr:to>
    <xdr:sp macro="" textlink="">
      <xdr:nvSpPr>
        <xdr:cNvPr id="15" name="Flowchart: Process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766944" y="7043569"/>
          <a:ext cx="573405" cy="624840"/>
        </a:xfrm>
        <a:prstGeom prst="flowChartProcess">
          <a:avLst/>
        </a:prstGeom>
        <a:noFill/>
        <a:ln w="28575">
          <a:solidFill>
            <a:srgbClr val="B9A407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556260</xdr:colOff>
      <xdr:row>30</xdr:row>
      <xdr:rowOff>28575</xdr:rowOff>
    </xdr:from>
    <xdr:to>
      <xdr:col>8</xdr:col>
      <xdr:colOff>0</xdr:colOff>
      <xdr:row>31</xdr:row>
      <xdr:rowOff>152400</xdr:rowOff>
    </xdr:to>
    <xdr:sp macro="" textlink="">
      <xdr:nvSpPr>
        <xdr:cNvPr id="16" name="Line Callout 2 (No Border)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366010" y="5019675"/>
          <a:ext cx="2196465" cy="304800"/>
        </a:xfrm>
        <a:prstGeom prst="callout2">
          <a:avLst>
            <a:gd name="adj1" fmla="val 52083"/>
            <a:gd name="adj2" fmla="val 835"/>
            <a:gd name="adj3" fmla="val 52083"/>
            <a:gd name="adj4" fmla="val -12002"/>
            <a:gd name="adj5" fmla="val 347355"/>
            <a:gd name="adj6" fmla="val -11757"/>
          </a:avLst>
        </a:prstGeom>
        <a:solidFill>
          <a:srgbClr val="FBEF93"/>
        </a:solidFill>
        <a:ln>
          <a:solidFill>
            <a:srgbClr val="B9A407"/>
          </a:solidFill>
          <a:headEnd type="oval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Type</a:t>
          </a:r>
          <a:r>
            <a:rPr lang="en-US" sz="1100" baseline="0">
              <a:solidFill>
                <a:sysClr val="windowText" lastClr="000000"/>
              </a:solidFill>
            </a:rPr>
            <a:t> in unit value of the course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45720</xdr:colOff>
      <xdr:row>35</xdr:row>
      <xdr:rowOff>137160</xdr:rowOff>
    </xdr:from>
    <xdr:to>
      <xdr:col>10</xdr:col>
      <xdr:colOff>15240</xdr:colOff>
      <xdr:row>37</xdr:row>
      <xdr:rowOff>179294</xdr:rowOff>
    </xdr:to>
    <xdr:sp macro="" textlink="">
      <xdr:nvSpPr>
        <xdr:cNvPr id="17" name="Flowchart: Process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387749" y="7051189"/>
          <a:ext cx="3331285" cy="624840"/>
        </a:xfrm>
        <a:prstGeom prst="flowChartProcess">
          <a:avLst/>
        </a:prstGeom>
        <a:noFill/>
        <a:ln w="28575">
          <a:solidFill>
            <a:srgbClr val="B9A407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632460</xdr:colOff>
      <xdr:row>35</xdr:row>
      <xdr:rowOff>160020</xdr:rowOff>
    </xdr:from>
    <xdr:to>
      <xdr:col>15</xdr:col>
      <xdr:colOff>895350</xdr:colOff>
      <xdr:row>38</xdr:row>
      <xdr:rowOff>448</xdr:rowOff>
    </xdr:to>
    <xdr:sp macro="" textlink="">
      <xdr:nvSpPr>
        <xdr:cNvPr id="19" name="Flowchart: Process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857578" y="7074049"/>
          <a:ext cx="912831" cy="624840"/>
        </a:xfrm>
        <a:prstGeom prst="flowChartProcess">
          <a:avLst/>
        </a:prstGeom>
        <a:noFill/>
        <a:ln w="28575">
          <a:solidFill>
            <a:srgbClr val="B9A407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38100</xdr:colOff>
      <xdr:row>35</xdr:row>
      <xdr:rowOff>160020</xdr:rowOff>
    </xdr:from>
    <xdr:to>
      <xdr:col>17</xdr:col>
      <xdr:colOff>22860</xdr:colOff>
      <xdr:row>38</xdr:row>
      <xdr:rowOff>448</xdr:rowOff>
    </xdr:to>
    <xdr:sp macro="" textlink="">
      <xdr:nvSpPr>
        <xdr:cNvPr id="20" name="Flowchart: Process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9809629" y="7074049"/>
          <a:ext cx="545055" cy="624840"/>
        </a:xfrm>
        <a:prstGeom prst="flowChartProcess">
          <a:avLst/>
        </a:prstGeom>
        <a:noFill/>
        <a:ln w="28575">
          <a:solidFill>
            <a:srgbClr val="B9A407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60960</xdr:colOff>
      <xdr:row>35</xdr:row>
      <xdr:rowOff>160020</xdr:rowOff>
    </xdr:from>
    <xdr:to>
      <xdr:col>18</xdr:col>
      <xdr:colOff>7620</xdr:colOff>
      <xdr:row>38</xdr:row>
      <xdr:rowOff>448</xdr:rowOff>
    </xdr:to>
    <xdr:sp macro="" textlink="">
      <xdr:nvSpPr>
        <xdr:cNvPr id="21" name="Flowchart: Process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0392784" y="7074049"/>
          <a:ext cx="394895" cy="624840"/>
        </a:xfrm>
        <a:prstGeom prst="flowChartProcess">
          <a:avLst/>
        </a:prstGeom>
        <a:noFill/>
        <a:ln w="28575">
          <a:solidFill>
            <a:srgbClr val="B9A407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30480</xdr:colOff>
      <xdr:row>35</xdr:row>
      <xdr:rowOff>167640</xdr:rowOff>
    </xdr:from>
    <xdr:to>
      <xdr:col>20</xdr:col>
      <xdr:colOff>22860</xdr:colOff>
      <xdr:row>38</xdr:row>
      <xdr:rowOff>8068</xdr:rowOff>
    </xdr:to>
    <xdr:sp macro="" textlink="">
      <xdr:nvSpPr>
        <xdr:cNvPr id="22" name="Flowchart: Process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1393245" y="7081669"/>
          <a:ext cx="597497" cy="624840"/>
        </a:xfrm>
        <a:prstGeom prst="flowChartProcess">
          <a:avLst/>
        </a:prstGeom>
        <a:noFill/>
        <a:ln w="28575">
          <a:solidFill>
            <a:srgbClr val="B9A407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53340</xdr:colOff>
      <xdr:row>35</xdr:row>
      <xdr:rowOff>167640</xdr:rowOff>
    </xdr:from>
    <xdr:to>
      <xdr:col>19</xdr:col>
      <xdr:colOff>2129</xdr:colOff>
      <xdr:row>38</xdr:row>
      <xdr:rowOff>8068</xdr:rowOff>
    </xdr:to>
    <xdr:sp macro="" textlink="">
      <xdr:nvSpPr>
        <xdr:cNvPr id="23" name="Flowchart: Process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0833399" y="7081669"/>
          <a:ext cx="531495" cy="624840"/>
        </a:xfrm>
        <a:prstGeom prst="flowChartProcess">
          <a:avLst/>
        </a:prstGeom>
        <a:noFill/>
        <a:ln w="28575">
          <a:solidFill>
            <a:srgbClr val="B9A407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 b="1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311150</xdr:colOff>
      <xdr:row>28</xdr:row>
      <xdr:rowOff>190499</xdr:rowOff>
    </xdr:from>
    <xdr:to>
      <xdr:col>27</xdr:col>
      <xdr:colOff>31750</xdr:colOff>
      <xdr:row>33</xdr:row>
      <xdr:rowOff>19684</xdr:rowOff>
    </xdr:to>
    <xdr:sp macro="" textlink="">
      <xdr:nvSpPr>
        <xdr:cNvPr id="25" name="Line Callout 2 (No Border)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6027400" y="5064124"/>
          <a:ext cx="2641600" cy="781685"/>
        </a:xfrm>
        <a:prstGeom prst="callout2">
          <a:avLst>
            <a:gd name="adj1" fmla="val 52083"/>
            <a:gd name="adj2" fmla="val 835"/>
            <a:gd name="adj3" fmla="val 53739"/>
            <a:gd name="adj4" fmla="val -204419"/>
            <a:gd name="adj5" fmla="val 162799"/>
            <a:gd name="adj6" fmla="val -204488"/>
          </a:avLst>
        </a:prstGeom>
        <a:solidFill>
          <a:srgbClr val="FBEF93"/>
        </a:solidFill>
        <a:ln>
          <a:solidFill>
            <a:srgbClr val="B9A407"/>
          </a:solidFill>
          <a:headEnd type="oval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To calculate summer faculty compensation, enter 9-month annual in the cell shaded in orange below. type the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value in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the Faculty column (column P).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solidFill>
              <a:sysClr val="windowText" lastClr="000000"/>
            </a:solidFill>
            <a:effectLst/>
          </a:endParaRPr>
        </a:p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540386</xdr:colOff>
      <xdr:row>30</xdr:row>
      <xdr:rowOff>43815</xdr:rowOff>
    </xdr:from>
    <xdr:to>
      <xdr:col>29</xdr:col>
      <xdr:colOff>550862</xdr:colOff>
      <xdr:row>37</xdr:row>
      <xdr:rowOff>60325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28" idx="1"/>
        </xdr:cNvCxnSpPr>
      </xdr:nvCxnSpPr>
      <xdr:spPr>
        <a:xfrm flipH="1">
          <a:off x="20669886" y="5298440"/>
          <a:ext cx="10476" cy="1397635"/>
        </a:xfrm>
        <a:prstGeom prst="line">
          <a:avLst/>
        </a:prstGeom>
        <a:ln w="25400">
          <a:solidFill>
            <a:srgbClr val="B9A407"/>
          </a:solidFill>
          <a:headEnd type="oval" w="med" len="med"/>
          <a:tailEnd type="oval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269876</xdr:colOff>
      <xdr:row>32</xdr:row>
      <xdr:rowOff>174625</xdr:rowOff>
    </xdr:from>
    <xdr:to>
      <xdr:col>24</xdr:col>
      <xdr:colOff>285750</xdr:colOff>
      <xdr:row>37</xdr:row>
      <xdr:rowOff>111125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7176751" y="5810250"/>
          <a:ext cx="15874" cy="936625"/>
        </a:xfrm>
        <a:prstGeom prst="line">
          <a:avLst/>
        </a:prstGeom>
        <a:ln w="25400">
          <a:solidFill>
            <a:srgbClr val="B9A407"/>
          </a:solidFill>
          <a:headEnd type="oval" w="med" len="med"/>
          <a:tailEnd type="oval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27</xdr:col>
      <xdr:colOff>480060</xdr:colOff>
      <xdr:row>27</xdr:row>
      <xdr:rowOff>106680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684782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19</xdr:col>
      <xdr:colOff>401955</xdr:colOff>
      <xdr:row>31</xdr:row>
      <xdr:rowOff>158750</xdr:rowOff>
    </xdr:from>
    <xdr:to>
      <xdr:col>22</xdr:col>
      <xdr:colOff>369570</xdr:colOff>
      <xdr:row>33</xdr:row>
      <xdr:rowOff>76200</xdr:rowOff>
    </xdr:to>
    <xdr:sp macro="" textlink="">
      <xdr:nvSpPr>
        <xdr:cNvPr id="34" name="Line Callout 2 (No Border)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3419455" y="5603875"/>
          <a:ext cx="2078990" cy="298450"/>
        </a:xfrm>
        <a:prstGeom prst="callout2">
          <a:avLst>
            <a:gd name="adj1" fmla="val 52436"/>
            <a:gd name="adj2" fmla="val 939"/>
            <a:gd name="adj3" fmla="val 54444"/>
            <a:gd name="adj4" fmla="val -31891"/>
            <a:gd name="adj5" fmla="val 225213"/>
            <a:gd name="adj6" fmla="val -32023"/>
          </a:avLst>
        </a:prstGeom>
        <a:solidFill>
          <a:srgbClr val="FBEF93"/>
        </a:solidFill>
        <a:ln>
          <a:solidFill>
            <a:srgbClr val="B9A407"/>
          </a:solidFill>
          <a:headEnd type="oval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Adjust fringe % as needed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557892</xdr:colOff>
      <xdr:row>12</xdr:row>
      <xdr:rowOff>95250</xdr:rowOff>
    </xdr:from>
    <xdr:to>
      <xdr:col>25</xdr:col>
      <xdr:colOff>95250</xdr:colOff>
      <xdr:row>13</xdr:row>
      <xdr:rowOff>166007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7852571" y="2707821"/>
          <a:ext cx="190500" cy="274865"/>
        </a:xfrm>
        <a:prstGeom prst="downArrow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  <xdr:twoCellAnchor>
    <xdr:from>
      <xdr:col>24</xdr:col>
      <xdr:colOff>408516</xdr:colOff>
      <xdr:row>12</xdr:row>
      <xdr:rowOff>224790</xdr:rowOff>
    </xdr:from>
    <xdr:to>
      <xdr:col>25</xdr:col>
      <xdr:colOff>126999</xdr:colOff>
      <xdr:row>13</xdr:row>
      <xdr:rowOff>167640</xdr:rowOff>
    </xdr:to>
    <xdr:sp macro="" textlink="">
      <xdr:nvSpPr>
        <xdr:cNvPr id="3" name="Down Arrow 1">
          <a:extLst>
            <a:ext uri="{FF2B5EF4-FFF2-40B4-BE49-F238E27FC236}">
              <a16:creationId xmlns:a16="http://schemas.microsoft.com/office/drawing/2014/main" id="{193C305E-0A6E-40F7-AC16-40CD10A22E28}"/>
            </a:ext>
          </a:extLst>
        </xdr:cNvPr>
        <xdr:cNvSpPr/>
      </xdr:nvSpPr>
      <xdr:spPr>
        <a:xfrm>
          <a:off x="16381941" y="7759065"/>
          <a:ext cx="309033" cy="409575"/>
        </a:xfrm>
        <a:prstGeom prst="downArrow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06T01:51:19.79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1 1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3-06T02:22:33.103"/>
    </inkml:context>
    <inkml:brush xml:id="br0">
      <inkml:brushProperty name="width" value="0.1" units="cm"/>
      <inkml:brushProperty name="height" value="0.1" units="cm"/>
      <inkml:brushProperty name="color" value="#F6630D"/>
    </inkml:brush>
  </inkml:definitions>
  <inkml:trace contextRef="#ctx0" brushRef="#br0">0-2147483648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ummer.ucla.edu/planning/" TargetMode="External"/><Relationship Id="rId1" Type="http://schemas.openxmlformats.org/officeDocument/2006/relationships/hyperlink" Target="https://www.summer.ucla.edu/planning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mmer.ucla.edu/planning/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summer.ucla.edu/planning/" TargetMode="External"/><Relationship Id="rId1" Type="http://schemas.openxmlformats.org/officeDocument/2006/relationships/hyperlink" Target="https://www.summer.ucla.edu/planning/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O54"/>
  <sheetViews>
    <sheetView showGridLines="0" zoomScale="85" zoomScaleNormal="85" workbookViewId="0">
      <selection activeCell="U15" sqref="U15"/>
    </sheetView>
  </sheetViews>
  <sheetFormatPr defaultColWidth="9.109375" defaultRowHeight="13.8"/>
  <cols>
    <col min="1" max="1" width="1.109375" style="1" customWidth="1"/>
    <col min="2" max="2" width="17.33203125" style="2" customWidth="1"/>
    <col min="3" max="3" width="10.109375" style="1" customWidth="1"/>
    <col min="4" max="4" width="8.6640625" style="1" customWidth="1"/>
    <col min="5" max="5" width="7.109375" style="1" customWidth="1"/>
    <col min="6" max="6" width="5.6640625" style="1" customWidth="1"/>
    <col min="7" max="7" width="8.44140625" style="1" customWidth="1"/>
    <col min="8" max="8" width="13.109375" style="1" customWidth="1"/>
    <col min="9" max="9" width="9.33203125" style="1" customWidth="1"/>
    <col min="10" max="10" width="10.33203125" style="1" customWidth="1"/>
    <col min="11" max="11" width="7.44140625" style="1" customWidth="1"/>
    <col min="12" max="12" width="9.6640625" style="1" customWidth="1"/>
    <col min="13" max="13" width="8.6640625" style="1" customWidth="1"/>
    <col min="14" max="14" width="12" style="1" customWidth="1"/>
    <col min="15" max="15" width="9.6640625" style="14" customWidth="1"/>
    <col min="16" max="16" width="13.44140625" style="14" customWidth="1"/>
    <col min="17" max="17" width="8.44140625" style="14" customWidth="1"/>
    <col min="18" max="18" width="6.6640625" style="14" customWidth="1"/>
    <col min="19" max="19" width="8.6640625" style="14" customWidth="1"/>
    <col min="20" max="20" width="9" style="14" customWidth="1"/>
    <col min="21" max="21" width="10" style="14" customWidth="1"/>
    <col min="22" max="22" width="21" style="14" customWidth="1"/>
    <col min="23" max="23" width="7.6640625" style="1" customWidth="1"/>
    <col min="24" max="24" width="15.6640625" style="1" customWidth="1"/>
    <col min="25" max="25" width="8.88671875" style="1" customWidth="1"/>
    <col min="26" max="26" width="8.33203125" style="1" customWidth="1"/>
    <col min="27" max="27" width="7.33203125" style="1" bestFit="1" customWidth="1"/>
    <col min="28" max="28" width="10.33203125" style="1" customWidth="1"/>
    <col min="29" max="29" width="13" style="1" customWidth="1"/>
    <col min="30" max="30" width="7.33203125" style="1" bestFit="1" customWidth="1"/>
    <col min="31" max="31" width="13.33203125" style="1" customWidth="1"/>
    <col min="32" max="32" width="10.109375" style="1" customWidth="1"/>
    <col min="33" max="33" width="11.109375" style="1" customWidth="1"/>
    <col min="34" max="34" width="10.109375" style="1" customWidth="1"/>
    <col min="35" max="35" width="12.44140625" style="1" customWidth="1"/>
    <col min="36" max="36" width="9.109375" style="1"/>
    <col min="37" max="37" width="13.33203125" style="1" customWidth="1"/>
    <col min="38" max="40" width="9.109375" style="1"/>
    <col min="41" max="41" width="11.6640625" style="1" customWidth="1"/>
    <col min="42" max="16384" width="9.109375" style="1"/>
  </cols>
  <sheetData>
    <row r="1" spans="2:27" ht="14.4" thickBot="1">
      <c r="B1" s="232">
        <v>45604</v>
      </c>
      <c r="C1" s="1" t="s">
        <v>104</v>
      </c>
      <c r="E1" s="3"/>
    </row>
    <row r="2" spans="2:27" ht="17.399999999999999">
      <c r="B2" s="315" t="str">
        <f>"SUMMER "&amp;cur_year&amp;" REVENUE SHARING SIMULATION FOR COURSES"</f>
        <v>SUMMER 2025 REVENUE SHARING SIMULATION FOR COURSES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7"/>
    </row>
    <row r="3" spans="2:27" ht="14.4">
      <c r="B3" s="193" t="s">
        <v>105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94"/>
    </row>
    <row r="4" spans="2:27" ht="14.4">
      <c r="B4" s="193" t="s">
        <v>98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94"/>
    </row>
    <row r="5" spans="2:27" ht="31.5" customHeight="1">
      <c r="B5" s="73" t="str">
        <f>"Fee differential and overhead deductions historically fluctuate around $65 per unit. To help departments estimate revenue, this simulation sheet uses $" &amp;overhead_rate&amp;" per unit deduction amount, fee differential and overhead combined. "</f>
        <v xml:space="preserve">Fee differential and overhead deductions historically fluctuate around $65 per unit. To help departments estimate revenue, this simulation sheet uses $80 per unit deduction amount, fee differential and overhead combined. 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51"/>
      <c r="P5" s="16"/>
      <c r="Q5" s="16"/>
      <c r="R5" s="16"/>
      <c r="S5" s="16"/>
      <c r="T5" s="16"/>
      <c r="U5" s="16"/>
      <c r="V5" s="74"/>
    </row>
    <row r="6" spans="2:27" ht="14.4">
      <c r="B6" s="73" t="str">
        <f>"Please note that fee differential and overhead deductions will be determined after all revenue snapshots are taken and campus expenses are reconciled and may be higher or lower than $"&amp;overhead_rate&amp;" per unit. "</f>
        <v xml:space="preserve">Please note that fee differential and overhead deductions will be determined after all revenue snapshots are taken and campus expenses are reconciled and may be higher or lower than $80 per unit. 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51"/>
      <c r="P6" s="16"/>
      <c r="Q6" s="16"/>
      <c r="R6" s="16"/>
      <c r="S6" s="16"/>
      <c r="T6" s="16"/>
      <c r="U6" s="16"/>
      <c r="V6" s="74"/>
    </row>
    <row r="7" spans="2:27" ht="14.4">
      <c r="B7" s="75" t="s">
        <v>87</v>
      </c>
      <c r="C7" s="18"/>
      <c r="D7" s="18"/>
      <c r="E7" s="18"/>
      <c r="F7" s="18"/>
      <c r="G7" s="18"/>
      <c r="H7" s="50"/>
      <c r="I7" s="18"/>
      <c r="J7" s="18"/>
      <c r="K7" s="18"/>
      <c r="L7" s="18"/>
      <c r="M7" s="18"/>
      <c r="N7" s="18"/>
      <c r="O7" s="51"/>
      <c r="P7" s="16"/>
      <c r="Q7" s="16"/>
      <c r="R7" s="16"/>
      <c r="S7" s="16"/>
      <c r="T7" s="16"/>
      <c r="U7" s="16"/>
      <c r="V7" s="74"/>
    </row>
    <row r="8" spans="2:27" ht="14.4">
      <c r="B8" s="75" t="s">
        <v>88</v>
      </c>
      <c r="C8" s="13"/>
      <c r="D8" s="13"/>
      <c r="E8" s="13"/>
      <c r="F8" s="13"/>
      <c r="G8" s="50"/>
      <c r="H8" s="13"/>
      <c r="I8" s="13"/>
      <c r="J8" s="13"/>
      <c r="K8" s="13"/>
      <c r="L8" s="13"/>
      <c r="M8" s="13"/>
      <c r="N8" s="13"/>
      <c r="O8" s="51"/>
      <c r="P8" s="16"/>
      <c r="Q8" s="16"/>
      <c r="R8" s="16"/>
      <c r="S8" s="16"/>
      <c r="T8" s="16"/>
      <c r="U8" s="16"/>
      <c r="V8" s="74"/>
    </row>
    <row r="9" spans="2:27" ht="14.4">
      <c r="B9" s="160" t="s">
        <v>35</v>
      </c>
      <c r="C9" s="161"/>
      <c r="D9" s="161"/>
      <c r="E9" s="161"/>
      <c r="F9" s="161"/>
      <c r="G9" s="161"/>
      <c r="H9" s="161"/>
      <c r="I9" s="161"/>
      <c r="J9" s="161"/>
      <c r="K9" s="161" t="s">
        <v>36</v>
      </c>
      <c r="L9" s="161"/>
      <c r="M9" s="161"/>
      <c r="N9" s="161"/>
      <c r="O9" s="162"/>
      <c r="P9" s="163"/>
      <c r="Q9" s="163"/>
      <c r="R9" s="163"/>
      <c r="S9" s="163"/>
      <c r="T9" s="163"/>
      <c r="U9" s="163"/>
      <c r="V9" s="164"/>
    </row>
    <row r="10" spans="2:27" ht="14.4">
      <c r="B10" s="195" t="s">
        <v>89</v>
      </c>
      <c r="C10" s="163"/>
      <c r="D10" s="161" t="s">
        <v>94</v>
      </c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2"/>
      <c r="P10" s="162"/>
      <c r="Q10" s="163"/>
      <c r="R10" s="163"/>
      <c r="S10" s="163"/>
      <c r="T10" s="163"/>
      <c r="U10" s="163"/>
      <c r="V10" s="164"/>
    </row>
    <row r="11" spans="2:27" ht="15" thickBot="1">
      <c r="B11" s="165" t="s">
        <v>97</v>
      </c>
      <c r="C11" s="166"/>
      <c r="D11" s="166"/>
      <c r="E11" s="166"/>
      <c r="F11" s="166"/>
      <c r="G11" s="166"/>
      <c r="H11" s="166"/>
      <c r="I11" s="166"/>
      <c r="J11" s="166"/>
      <c r="K11" s="166" t="s">
        <v>37</v>
      </c>
      <c r="L11" s="166"/>
      <c r="M11" s="166"/>
      <c r="N11" s="166"/>
      <c r="O11" s="167"/>
      <c r="P11" s="168"/>
      <c r="Q11" s="168"/>
      <c r="R11" s="168"/>
      <c r="S11" s="168"/>
      <c r="T11" s="168"/>
      <c r="U11" s="168"/>
      <c r="V11" s="169"/>
    </row>
    <row r="12" spans="2:27" s="9" customFormat="1" ht="15" thickBot="1">
      <c r="C12" s="13"/>
      <c r="D12" s="13"/>
      <c r="E12" s="13"/>
      <c r="F12" s="13"/>
      <c r="G12" s="13"/>
      <c r="H12" s="13"/>
      <c r="I12" s="13"/>
      <c r="K12" s="13"/>
      <c r="L12" s="13"/>
      <c r="M12" s="13"/>
      <c r="N12" s="13"/>
    </row>
    <row r="13" spans="2:27" s="9" customFormat="1" ht="37.5" customHeight="1" thickBot="1">
      <c r="B13" s="284" t="str">
        <f>"SUMMER " &amp; cur_year&amp; " UNIT FEES"</f>
        <v>SUMMER 2025 UNIT FEES</v>
      </c>
      <c r="C13" s="285"/>
      <c r="D13" s="285"/>
      <c r="E13" s="285"/>
      <c r="F13" s="286"/>
      <c r="I13" s="284" t="s">
        <v>73</v>
      </c>
      <c r="J13" s="286"/>
      <c r="K13" s="14"/>
      <c r="M13" s="318" t="s">
        <v>93</v>
      </c>
      <c r="N13" s="319"/>
      <c r="O13" s="319"/>
      <c r="P13" s="320"/>
      <c r="S13" s="284" t="s">
        <v>92</v>
      </c>
      <c r="T13" s="285"/>
      <c r="U13" s="285"/>
      <c r="V13" s="286"/>
    </row>
    <row r="14" spans="2:27" s="17" customFormat="1" ht="18" customHeight="1" thickBot="1">
      <c r="B14" s="206" t="s">
        <v>38</v>
      </c>
      <c r="C14" s="207" t="s">
        <v>39</v>
      </c>
      <c r="D14" s="207" t="s">
        <v>40</v>
      </c>
      <c r="E14" s="287" t="s">
        <v>41</v>
      </c>
      <c r="F14" s="288"/>
      <c r="I14" s="206" t="s">
        <v>45</v>
      </c>
      <c r="J14" s="208" t="s">
        <v>39</v>
      </c>
      <c r="K14" s="12"/>
      <c r="M14" s="206" t="s">
        <v>38</v>
      </c>
      <c r="N14" s="207" t="s">
        <v>39</v>
      </c>
      <c r="O14" s="207" t="s">
        <v>40</v>
      </c>
      <c r="P14" s="208" t="s">
        <v>41</v>
      </c>
      <c r="S14" s="206" t="s">
        <v>38</v>
      </c>
      <c r="T14" s="207" t="s">
        <v>39</v>
      </c>
      <c r="U14" s="207" t="s">
        <v>40</v>
      </c>
      <c r="V14" s="208" t="s">
        <v>41</v>
      </c>
    </row>
    <row r="15" spans="2:27" s="9" customFormat="1" ht="15" thickBot="1">
      <c r="B15" s="76">
        <f>'Revenue Simulation'!X6</f>
        <v>279</v>
      </c>
      <c r="C15" s="77">
        <f>'Revenue Simulation'!Y6</f>
        <v>374</v>
      </c>
      <c r="D15" s="77">
        <f>'Revenue Simulation'!Z6</f>
        <v>385</v>
      </c>
      <c r="E15" s="289">
        <f>'Revenue Simulation'!AA6</f>
        <v>385</v>
      </c>
      <c r="F15" s="290"/>
      <c r="I15" s="78">
        <f>B15*0.284</f>
        <v>79.23599999999999</v>
      </c>
      <c r="J15" s="79">
        <f>C15*0.284</f>
        <v>106.21599999999999</v>
      </c>
      <c r="M15" s="76">
        <f>overhead_rate</f>
        <v>80</v>
      </c>
      <c r="N15" s="76">
        <f>overhead_rate</f>
        <v>80</v>
      </c>
      <c r="O15" s="76">
        <f>overhead_rate</f>
        <v>80</v>
      </c>
      <c r="P15" s="76">
        <f>overhead_rate</f>
        <v>80</v>
      </c>
      <c r="S15" s="78">
        <f>B15-I15-M15</f>
        <v>119.76400000000001</v>
      </c>
      <c r="T15" s="88">
        <f>C15-J15-N15</f>
        <v>187.78399999999999</v>
      </c>
      <c r="U15" s="88">
        <f>D15-O15</f>
        <v>305</v>
      </c>
      <c r="V15" s="79">
        <f>E15-P15</f>
        <v>305</v>
      </c>
    </row>
    <row r="16" spans="2:27" s="9" customFormat="1" ht="15" thickBot="1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2"/>
      <c r="P16" s="22"/>
      <c r="Q16" s="21"/>
      <c r="R16" s="21"/>
      <c r="S16" s="19"/>
      <c r="T16" s="19"/>
      <c r="U16" s="19"/>
      <c r="V16" s="19"/>
      <c r="W16" s="19"/>
      <c r="X16" s="19"/>
      <c r="Y16" s="19"/>
      <c r="Z16" s="19"/>
      <c r="AA16" s="19"/>
    </row>
    <row r="17" spans="2:27" s="9" customFormat="1" ht="18">
      <c r="B17" s="284" t="s">
        <v>76</v>
      </c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6"/>
      <c r="W17" s="19"/>
      <c r="X17" s="19"/>
      <c r="Y17" s="19"/>
      <c r="Z17" s="19"/>
      <c r="AA17" s="19"/>
    </row>
    <row r="18" spans="2:27" s="9" customFormat="1" ht="14.4">
      <c r="B18" s="80" t="s">
        <v>100</v>
      </c>
      <c r="C18" s="13"/>
      <c r="D18" s="233"/>
      <c r="E18" s="174"/>
      <c r="F18" s="7"/>
      <c r="G18" s="7"/>
      <c r="H18" s="7"/>
      <c r="I18" s="7"/>
      <c r="J18" s="7"/>
      <c r="K18" s="16"/>
      <c r="L18" s="16"/>
      <c r="M18" s="16"/>
      <c r="N18" s="233"/>
      <c r="O18" s="235"/>
      <c r="P18" s="22"/>
      <c r="Q18" s="21"/>
      <c r="R18" s="21"/>
      <c r="S18" s="19"/>
      <c r="T18" s="19"/>
      <c r="U18" s="19"/>
      <c r="V18" s="81"/>
      <c r="W18" s="19"/>
      <c r="X18" s="19"/>
      <c r="Y18" s="19"/>
      <c r="Z18" s="19"/>
      <c r="AA18" s="19"/>
    </row>
    <row r="19" spans="2:27" s="9" customFormat="1" ht="14.4">
      <c r="B19" s="80" t="s">
        <v>77</v>
      </c>
      <c r="C19" s="8"/>
      <c r="D19" s="16"/>
      <c r="E19" s="7"/>
      <c r="F19" s="7"/>
      <c r="G19" s="7"/>
      <c r="H19" s="7"/>
      <c r="I19" s="7"/>
      <c r="J19" s="7"/>
      <c r="K19" s="16"/>
      <c r="L19" s="16"/>
      <c r="M19" s="16"/>
      <c r="N19" s="16"/>
      <c r="O19" s="52"/>
      <c r="P19" s="22"/>
      <c r="Q19" s="21"/>
      <c r="R19" s="21"/>
      <c r="S19" s="19"/>
      <c r="T19" s="19"/>
      <c r="U19" s="19"/>
      <c r="V19" s="81"/>
      <c r="W19" s="19"/>
      <c r="X19" s="19"/>
      <c r="Y19" s="19"/>
      <c r="Z19" s="19"/>
      <c r="AA19" s="19"/>
    </row>
    <row r="20" spans="2:27" s="67" customFormat="1" ht="14.4">
      <c r="B20" s="80" t="s">
        <v>99</v>
      </c>
      <c r="C20" s="8"/>
      <c r="D20" s="68"/>
      <c r="E20" s="62"/>
      <c r="F20" s="62"/>
      <c r="G20" s="62"/>
      <c r="H20" s="68"/>
      <c r="I20" s="69"/>
      <c r="J20" s="69"/>
      <c r="K20" s="60"/>
      <c r="L20" s="60"/>
      <c r="M20" s="234" t="s">
        <v>102</v>
      </c>
      <c r="N20" s="60"/>
      <c r="O20" s="63"/>
      <c r="P20" s="175"/>
      <c r="Q20" s="65"/>
      <c r="R20" s="65"/>
      <c r="S20" s="66"/>
      <c r="T20" s="66"/>
      <c r="U20" s="66"/>
      <c r="V20" s="82"/>
      <c r="W20" s="66"/>
      <c r="X20" s="66"/>
      <c r="Y20" s="66"/>
      <c r="Z20" s="66"/>
      <c r="AA20" s="66"/>
    </row>
    <row r="21" spans="2:27" s="67" customFormat="1" ht="14.4">
      <c r="B21" s="223" t="s">
        <v>86</v>
      </c>
      <c r="C21" s="8"/>
      <c r="D21" s="68"/>
      <c r="E21" s="62"/>
      <c r="F21" s="62"/>
      <c r="G21" s="62"/>
      <c r="H21" s="68"/>
      <c r="I21" s="60"/>
      <c r="J21" s="69"/>
      <c r="K21" s="60"/>
      <c r="L21" s="60"/>
      <c r="M21" s="60"/>
      <c r="N21" s="60"/>
      <c r="O21" s="63"/>
      <c r="P21" s="175"/>
      <c r="Q21" s="65"/>
      <c r="R21" s="65"/>
      <c r="S21" s="66"/>
      <c r="T21" s="66"/>
      <c r="U21" s="66"/>
      <c r="V21" s="82"/>
      <c r="W21" s="66"/>
      <c r="X21" s="66"/>
      <c r="Y21" s="66"/>
      <c r="Z21" s="66"/>
      <c r="AA21" s="66"/>
    </row>
    <row r="22" spans="2:27" s="67" customFormat="1" ht="14.4">
      <c r="B22" s="80" t="s">
        <v>78</v>
      </c>
      <c r="C22" s="61"/>
      <c r="D22" s="62"/>
      <c r="E22" s="62"/>
      <c r="F22" s="62"/>
      <c r="G22" s="62"/>
      <c r="H22" s="62"/>
      <c r="I22" s="62"/>
      <c r="J22" s="62"/>
      <c r="K22" s="61"/>
      <c r="L22" s="61"/>
      <c r="M22" s="61"/>
      <c r="N22" s="61"/>
      <c r="O22" s="63"/>
      <c r="P22" s="64"/>
      <c r="Q22" s="65"/>
      <c r="R22" s="65"/>
      <c r="S22" s="66"/>
      <c r="T22" s="66"/>
      <c r="U22" s="66"/>
      <c r="V22" s="82"/>
      <c r="W22" s="66"/>
      <c r="X22" s="66"/>
      <c r="Y22" s="66"/>
      <c r="Z22" s="66"/>
      <c r="AA22" s="66"/>
    </row>
    <row r="23" spans="2:27" s="67" customFormat="1" ht="15" thickBot="1">
      <c r="B23" s="83" t="s">
        <v>79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5"/>
      <c r="N23" s="85"/>
      <c r="O23" s="86"/>
      <c r="P23" s="86"/>
      <c r="Q23" s="86"/>
      <c r="R23" s="86"/>
      <c r="S23" s="86"/>
      <c r="T23" s="86"/>
      <c r="U23" s="86"/>
      <c r="V23" s="87"/>
    </row>
    <row r="24" spans="2:27" s="9" customFormat="1" ht="15" thickBot="1">
      <c r="B24" s="8"/>
      <c r="C24" s="16"/>
      <c r="D24" s="16"/>
      <c r="E24" s="7"/>
      <c r="F24" s="7"/>
      <c r="G24" s="7"/>
      <c r="H24" s="7"/>
      <c r="I24" s="7"/>
      <c r="J24" s="7"/>
      <c r="K24" s="16"/>
      <c r="L24" s="16"/>
      <c r="M24" s="16"/>
      <c r="N24" s="16"/>
      <c r="O24" s="52"/>
      <c r="P24" s="22"/>
      <c r="Q24" s="21"/>
      <c r="R24" s="21"/>
      <c r="S24" s="19"/>
      <c r="T24" s="19"/>
      <c r="U24" s="19"/>
      <c r="V24" s="19"/>
      <c r="W24" s="19"/>
      <c r="X24" s="19"/>
      <c r="Y24" s="19"/>
      <c r="Z24" s="19"/>
      <c r="AA24" s="19"/>
    </row>
    <row r="25" spans="2:27" s="9" customFormat="1" ht="18">
      <c r="B25" s="284" t="s">
        <v>46</v>
      </c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6"/>
      <c r="W25" s="19"/>
      <c r="X25" s="19"/>
      <c r="Y25" s="19"/>
      <c r="Z25" s="19"/>
      <c r="AA25" s="19"/>
    </row>
    <row r="26" spans="2:27" s="9" customFormat="1" ht="14.4">
      <c r="B26" s="58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2"/>
      <c r="P26" s="22"/>
      <c r="Q26" s="58"/>
      <c r="R26" s="21"/>
      <c r="S26" s="19"/>
      <c r="T26" s="19"/>
      <c r="U26" s="19"/>
      <c r="V26" s="19"/>
      <c r="W26" s="58"/>
      <c r="X26" s="19"/>
      <c r="Y26" s="19"/>
      <c r="Z26" s="19"/>
      <c r="AA26" s="19"/>
    </row>
    <row r="27" spans="2:27" s="9" customFormat="1" ht="14.4">
      <c r="B27" s="13"/>
      <c r="C27" s="13"/>
      <c r="D27" s="58"/>
      <c r="F27" s="13"/>
      <c r="G27" s="13"/>
      <c r="H27" s="13"/>
      <c r="I27" s="58"/>
      <c r="J27" s="13"/>
      <c r="K27" s="13"/>
      <c r="L27" s="13"/>
      <c r="M27" s="13"/>
      <c r="N27" s="13"/>
      <c r="O27" s="12"/>
      <c r="P27" s="22"/>
      <c r="Q27" s="21"/>
      <c r="R27" s="21"/>
      <c r="S27" s="19"/>
      <c r="T27" s="19"/>
      <c r="U27" s="19"/>
      <c r="V27" s="19"/>
      <c r="W27" s="19"/>
      <c r="X27" s="19"/>
      <c r="Y27" s="19"/>
      <c r="Z27" s="19"/>
      <c r="AA27" s="19"/>
    </row>
    <row r="28" spans="2:27" s="9" customFormat="1" ht="14.4">
      <c r="B28" s="13"/>
      <c r="C28" s="13"/>
      <c r="D28" s="58"/>
      <c r="F28" s="13"/>
      <c r="G28" s="13"/>
      <c r="H28" s="13"/>
      <c r="I28" s="58"/>
      <c r="J28" s="13"/>
      <c r="K28" s="13"/>
      <c r="L28" s="13"/>
      <c r="M28" s="13"/>
      <c r="N28" s="13"/>
      <c r="O28" s="12"/>
      <c r="P28" s="22"/>
      <c r="Q28" s="21"/>
      <c r="R28" s="21"/>
      <c r="S28" s="19"/>
      <c r="T28" s="19"/>
      <c r="U28" s="19"/>
      <c r="V28" s="19"/>
      <c r="W28" s="19"/>
      <c r="X28" s="19"/>
      <c r="Y28" s="19"/>
      <c r="Z28" s="19"/>
      <c r="AA28" s="19"/>
    </row>
    <row r="29" spans="2:27" s="9" customFormat="1" ht="14.4">
      <c r="B29" s="13"/>
      <c r="C29" s="13"/>
      <c r="D29" s="58"/>
      <c r="F29" s="13"/>
      <c r="G29" s="13"/>
      <c r="H29" s="13"/>
      <c r="I29" s="58"/>
      <c r="J29" s="13"/>
      <c r="K29" s="13"/>
      <c r="L29" s="13"/>
      <c r="M29" s="13"/>
      <c r="N29" s="13"/>
      <c r="O29" s="12"/>
      <c r="P29" s="22"/>
      <c r="Q29" s="21"/>
      <c r="R29" s="21"/>
      <c r="S29" s="19"/>
      <c r="T29" s="19"/>
      <c r="U29" s="19"/>
      <c r="V29" s="19"/>
      <c r="W29" s="19"/>
      <c r="X29" s="19"/>
      <c r="Y29" s="19"/>
      <c r="Z29" s="19"/>
      <c r="AA29" s="19"/>
    </row>
    <row r="30" spans="2:27" s="9" customFormat="1" ht="14.4">
      <c r="B30" s="13"/>
      <c r="C30" s="13"/>
      <c r="D30" s="58"/>
      <c r="F30" s="13"/>
      <c r="G30" s="13"/>
      <c r="H30" s="13"/>
      <c r="I30" s="58"/>
      <c r="J30" s="13"/>
      <c r="K30" s="13"/>
      <c r="L30" s="13"/>
      <c r="M30" s="13"/>
      <c r="N30" s="13"/>
      <c r="O30" s="12"/>
      <c r="P30" s="22"/>
      <c r="Q30" s="21"/>
      <c r="R30" s="21"/>
      <c r="S30" s="19"/>
      <c r="T30" s="19"/>
      <c r="U30" s="19"/>
      <c r="V30" s="19"/>
      <c r="W30" s="19"/>
      <c r="X30" s="19"/>
      <c r="Y30" s="19"/>
      <c r="Z30" s="19"/>
      <c r="AA30" s="19"/>
    </row>
    <row r="31" spans="2:27" s="9" customFormat="1" ht="14.4">
      <c r="B31" s="13"/>
      <c r="C31" s="13"/>
      <c r="D31" s="58"/>
      <c r="F31" s="13"/>
      <c r="G31" s="13"/>
      <c r="H31" s="13"/>
      <c r="I31" s="58"/>
      <c r="J31" s="13"/>
      <c r="K31" s="13"/>
      <c r="L31" s="13"/>
      <c r="M31" s="13"/>
      <c r="N31" s="13"/>
      <c r="O31" s="12"/>
      <c r="P31" s="22"/>
      <c r="Q31" s="21"/>
      <c r="R31" s="21"/>
      <c r="S31" s="19"/>
      <c r="T31" s="19"/>
      <c r="U31" s="19"/>
      <c r="V31" s="19"/>
      <c r="W31" s="19"/>
      <c r="X31" s="19"/>
      <c r="Y31" s="19"/>
      <c r="Z31" s="19"/>
      <c r="AA31" s="19"/>
    </row>
    <row r="32" spans="2:27" s="9" customFormat="1" ht="14.4">
      <c r="B32" s="13"/>
      <c r="C32" s="13"/>
      <c r="D32" s="58"/>
      <c r="F32" s="13"/>
      <c r="G32" s="13"/>
      <c r="H32" s="13"/>
      <c r="I32" s="58"/>
      <c r="J32" s="13"/>
      <c r="K32" s="13"/>
      <c r="L32" s="13"/>
      <c r="M32" s="13"/>
      <c r="N32" s="13"/>
      <c r="O32" s="12"/>
      <c r="P32" s="22"/>
      <c r="Q32" s="21"/>
      <c r="R32" s="21"/>
      <c r="S32" s="19"/>
      <c r="T32" s="19"/>
      <c r="U32" s="19"/>
      <c r="V32" s="19"/>
      <c r="W32" s="19"/>
      <c r="X32" s="19"/>
      <c r="Y32" s="19"/>
      <c r="Z32" s="19"/>
      <c r="AA32" s="19"/>
    </row>
    <row r="33" spans="2:41" s="9" customFormat="1" ht="14.4">
      <c r="B33" s="13"/>
      <c r="C33" s="13"/>
      <c r="D33" s="58"/>
      <c r="F33" s="13"/>
      <c r="G33" s="13"/>
      <c r="H33" s="13"/>
      <c r="I33" s="58"/>
      <c r="J33" s="13"/>
      <c r="K33" s="13"/>
      <c r="L33" s="13"/>
      <c r="M33" s="13"/>
      <c r="N33" s="13"/>
      <c r="O33" s="12"/>
      <c r="P33" s="22"/>
      <c r="Q33" s="21"/>
      <c r="R33" s="21"/>
      <c r="S33" s="19"/>
      <c r="T33" s="19"/>
      <c r="U33" s="19"/>
      <c r="V33" s="19"/>
      <c r="W33" s="19"/>
      <c r="X33" s="19"/>
      <c r="Y33" s="19"/>
      <c r="Z33" s="19"/>
      <c r="AA33" s="19"/>
    </row>
    <row r="34" spans="2:41" s="9" customFormat="1" ht="15" thickBot="1">
      <c r="B34" s="11"/>
      <c r="D34" s="10"/>
      <c r="O34" s="12"/>
      <c r="P34" s="12"/>
      <c r="Q34" s="12"/>
      <c r="R34" s="12"/>
      <c r="S34" s="12"/>
      <c r="T34" s="12"/>
      <c r="U34" s="12"/>
      <c r="V34" s="12"/>
    </row>
    <row r="35" spans="2:41" ht="13.95" customHeight="1">
      <c r="B35" s="293" t="s">
        <v>28</v>
      </c>
      <c r="C35" s="294"/>
      <c r="D35" s="295"/>
      <c r="E35" s="299" t="s">
        <v>30</v>
      </c>
      <c r="F35" s="300"/>
      <c r="G35" s="300"/>
      <c r="H35" s="300"/>
      <c r="I35" s="300"/>
      <c r="J35" s="300"/>
      <c r="K35" s="301"/>
      <c r="L35" s="299" t="s">
        <v>32</v>
      </c>
      <c r="M35" s="300"/>
      <c r="N35" s="300"/>
      <c r="O35" s="301"/>
      <c r="P35" s="299" t="s">
        <v>18</v>
      </c>
      <c r="Q35" s="300"/>
      <c r="R35" s="300"/>
      <c r="S35" s="300"/>
      <c r="T35" s="300"/>
      <c r="U35" s="301"/>
      <c r="V35" s="191" t="s">
        <v>25</v>
      </c>
      <c r="X35" s="59"/>
      <c r="Y35" s="14"/>
      <c r="Z35" s="14"/>
      <c r="AA35" s="14"/>
      <c r="AB35" s="14"/>
      <c r="AC35" s="14"/>
      <c r="AD35" s="14"/>
    </row>
    <row r="36" spans="2:41" ht="13.95" customHeight="1" thickBot="1">
      <c r="B36" s="296"/>
      <c r="C36" s="297"/>
      <c r="D36" s="298"/>
      <c r="E36" s="302"/>
      <c r="F36" s="303"/>
      <c r="G36" s="303"/>
      <c r="H36" s="303"/>
      <c r="I36" s="303"/>
      <c r="J36" s="303"/>
      <c r="K36" s="304"/>
      <c r="L36" s="302"/>
      <c r="M36" s="303"/>
      <c r="N36" s="303"/>
      <c r="O36" s="304"/>
      <c r="P36" s="302"/>
      <c r="Q36" s="303"/>
      <c r="R36" s="303"/>
      <c r="S36" s="303"/>
      <c r="T36" s="303"/>
      <c r="U36" s="304"/>
      <c r="V36" s="192" t="s">
        <v>0</v>
      </c>
      <c r="Y36" s="14"/>
      <c r="Z36" s="14"/>
      <c r="AA36" s="14"/>
      <c r="AB36" s="14"/>
      <c r="AC36" s="14"/>
      <c r="AD36" s="14"/>
    </row>
    <row r="37" spans="2:41" s="190" customFormat="1" ht="36.75" customHeight="1" thickBot="1">
      <c r="B37" s="178" t="s">
        <v>27</v>
      </c>
      <c r="C37" s="179" t="s">
        <v>29</v>
      </c>
      <c r="D37" s="180" t="s">
        <v>17</v>
      </c>
      <c r="E37" s="181" t="s">
        <v>10</v>
      </c>
      <c r="F37" s="182" t="s">
        <v>11</v>
      </c>
      <c r="G37" s="182" t="s">
        <v>12</v>
      </c>
      <c r="H37" s="182" t="s">
        <v>13</v>
      </c>
      <c r="I37" s="182" t="s">
        <v>14</v>
      </c>
      <c r="J37" s="183" t="s">
        <v>15</v>
      </c>
      <c r="K37" s="305" t="s">
        <v>6</v>
      </c>
      <c r="L37" s="184" t="s">
        <v>16</v>
      </c>
      <c r="M37" s="183" t="s">
        <v>44</v>
      </c>
      <c r="N37" s="185" t="s">
        <v>90</v>
      </c>
      <c r="O37" s="186" t="s">
        <v>33</v>
      </c>
      <c r="P37" s="187" t="s">
        <v>1</v>
      </c>
      <c r="Q37" s="188" t="s">
        <v>2</v>
      </c>
      <c r="R37" s="188" t="s">
        <v>3</v>
      </c>
      <c r="S37" s="188" t="s">
        <v>4</v>
      </c>
      <c r="T37" s="188" t="s">
        <v>5</v>
      </c>
      <c r="U37" s="189" t="s">
        <v>6</v>
      </c>
      <c r="V37" s="291" t="s">
        <v>34</v>
      </c>
      <c r="X37" s="309" t="s">
        <v>68</v>
      </c>
      <c r="Y37" s="310"/>
      <c r="Z37" s="310"/>
      <c r="AA37" s="310"/>
      <c r="AB37" s="310"/>
      <c r="AC37" s="310"/>
      <c r="AD37" s="310"/>
      <c r="AE37" s="310"/>
      <c r="AF37" s="310"/>
      <c r="AG37" s="310"/>
      <c r="AH37" s="310"/>
      <c r="AI37" s="310"/>
      <c r="AJ37" s="310"/>
      <c r="AK37" s="310"/>
      <c r="AL37" s="310"/>
      <c r="AM37" s="310"/>
      <c r="AN37" s="310"/>
      <c r="AO37" s="311"/>
    </row>
    <row r="38" spans="2:41" s="3" customFormat="1" ht="15" thickBot="1">
      <c r="B38" s="23"/>
      <c r="C38" s="25" t="s">
        <v>7</v>
      </c>
      <c r="D38" s="24"/>
      <c r="E38" s="26">
        <f>'Revenue Simulation'!X6</f>
        <v>279</v>
      </c>
      <c r="F38" s="27">
        <f>'Revenue Simulation'!Y6</f>
        <v>374</v>
      </c>
      <c r="G38" s="28">
        <f>'Revenue Simulation'!X6</f>
        <v>279</v>
      </c>
      <c r="H38" s="29">
        <f>'Revenue Simulation'!Y6</f>
        <v>374</v>
      </c>
      <c r="I38" s="27">
        <f>'Revenue Simulation'!Z6</f>
        <v>385</v>
      </c>
      <c r="J38" s="29">
        <f>'Revenue Simulation'!AA6</f>
        <v>385</v>
      </c>
      <c r="K38" s="306"/>
      <c r="L38" s="71" t="s">
        <v>0</v>
      </c>
      <c r="M38" s="236">
        <v>0.28399999999999997</v>
      </c>
      <c r="N38" s="72" t="str">
        <f>"Est. $"&amp;overhead_rate</f>
        <v>Est. $80</v>
      </c>
      <c r="O38" s="33" t="s">
        <v>0</v>
      </c>
      <c r="P38" s="30" t="s">
        <v>8</v>
      </c>
      <c r="Q38" s="31" t="s">
        <v>8</v>
      </c>
      <c r="R38" s="31" t="s">
        <v>8</v>
      </c>
      <c r="S38" s="32">
        <v>0.06</v>
      </c>
      <c r="T38" s="31">
        <v>3</v>
      </c>
      <c r="U38" s="33"/>
      <c r="V38" s="292"/>
      <c r="X38" s="307" t="s">
        <v>1</v>
      </c>
      <c r="Y38" s="308"/>
      <c r="Z38" s="308"/>
      <c r="AA38" s="312" t="s">
        <v>2</v>
      </c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4"/>
    </row>
    <row r="39" spans="2:41" s="38" customFormat="1" ht="14.7" customHeight="1">
      <c r="B39" s="238" t="s">
        <v>47</v>
      </c>
      <c r="C39" s="239" t="s">
        <v>58</v>
      </c>
      <c r="D39" s="244">
        <v>5</v>
      </c>
      <c r="E39" s="34">
        <v>40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9">
        <f>SUM(E39:J39)</f>
        <v>40</v>
      </c>
      <c r="L39" s="245">
        <f>((E39+G39)*D39*E$38)+((F39+H39)*D39*F$38)+((I39+J39)*D39*I$38)</f>
        <v>55800</v>
      </c>
      <c r="M39" s="246">
        <f t="shared" ref="M39:M49" si="0">ROUND((((E39+G39)*D39*E$38)+((F39+H39)*D39*F$38))*M$38,2)</f>
        <v>15847.2</v>
      </c>
      <c r="N39" s="237">
        <f t="shared" ref="N39:N49" si="1">overhead_rate*D39*K39</f>
        <v>16000</v>
      </c>
      <c r="O39" s="40">
        <f>L39-M39-N39</f>
        <v>23952.800000000003</v>
      </c>
      <c r="P39" s="248">
        <v>4653</v>
      </c>
      <c r="Q39" s="249">
        <v>4104</v>
      </c>
      <c r="R39" s="249">
        <v>0</v>
      </c>
      <c r="S39" s="250">
        <f t="shared" ref="S39:S49" si="2">ROUND((P39+Q39+R39)*S$38,2)</f>
        <v>525.41999999999996</v>
      </c>
      <c r="T39" s="249">
        <v>100</v>
      </c>
      <c r="U39" s="45">
        <f>SUM(P39:T39)</f>
        <v>9382.42</v>
      </c>
      <c r="V39" s="46">
        <f>O39-U39</f>
        <v>14570.380000000003</v>
      </c>
      <c r="X39" s="324" t="s">
        <v>19</v>
      </c>
      <c r="Y39" s="326">
        <v>95000</v>
      </c>
      <c r="Z39" s="327"/>
      <c r="AA39" s="321" t="s">
        <v>106</v>
      </c>
      <c r="AB39" s="322"/>
      <c r="AC39" s="323"/>
      <c r="AD39" s="321" t="s">
        <v>107</v>
      </c>
      <c r="AE39" s="322"/>
      <c r="AF39" s="323"/>
      <c r="AG39" s="321" t="s">
        <v>108</v>
      </c>
      <c r="AH39" s="322"/>
      <c r="AI39" s="323"/>
      <c r="AJ39" s="275" t="s">
        <v>109</v>
      </c>
      <c r="AK39" s="276"/>
      <c r="AL39" s="277"/>
      <c r="AM39" s="275" t="s">
        <v>110</v>
      </c>
      <c r="AN39" s="276"/>
      <c r="AO39" s="277"/>
    </row>
    <row r="40" spans="2:41" ht="14.4" thickBot="1">
      <c r="B40" s="240" t="s">
        <v>48</v>
      </c>
      <c r="C40" s="241" t="s">
        <v>59</v>
      </c>
      <c r="D40" s="49">
        <v>4</v>
      </c>
      <c r="E40" s="34">
        <v>50</v>
      </c>
      <c r="F40" s="35">
        <v>0</v>
      </c>
      <c r="G40" s="35">
        <v>1</v>
      </c>
      <c r="H40" s="35">
        <v>0</v>
      </c>
      <c r="I40" s="35">
        <v>5</v>
      </c>
      <c r="J40" s="35">
        <v>1</v>
      </c>
      <c r="K40" s="247">
        <f>SUM(E40:J40)</f>
        <v>57</v>
      </c>
      <c r="L40" s="41">
        <f t="shared" ref="L40:L49" si="3">((E40+G40)*D40*E$38)+((F40+H40)*D40*F$38)+((I40+J40)*D40*I$38)</f>
        <v>66156</v>
      </c>
      <c r="M40" s="42">
        <f t="shared" si="0"/>
        <v>16164.14</v>
      </c>
      <c r="N40" s="237">
        <f t="shared" si="1"/>
        <v>18240</v>
      </c>
      <c r="O40" s="43">
        <f t="shared" ref="O40:O49" si="4">L40-M40-N40</f>
        <v>31751.86</v>
      </c>
      <c r="P40" s="36">
        <v>6800</v>
      </c>
      <c r="Q40" s="37">
        <v>1992</v>
      </c>
      <c r="R40" s="37">
        <v>0</v>
      </c>
      <c r="S40" s="44">
        <f t="shared" si="2"/>
        <v>527.52</v>
      </c>
      <c r="T40" s="37">
        <v>0</v>
      </c>
      <c r="U40" s="47">
        <f>SUM(P40:T40)</f>
        <v>9319.52</v>
      </c>
      <c r="V40" s="48">
        <f>O40-U40</f>
        <v>22432.34</v>
      </c>
      <c r="X40" s="325"/>
      <c r="Y40" s="328"/>
      <c r="Z40" s="329"/>
      <c r="AA40" s="278"/>
      <c r="AB40" s="279"/>
      <c r="AC40" s="280"/>
      <c r="AD40" s="278"/>
      <c r="AE40" s="279"/>
      <c r="AF40" s="280"/>
      <c r="AG40" s="278"/>
      <c r="AH40" s="279"/>
      <c r="AI40" s="280"/>
      <c r="AJ40" s="278"/>
      <c r="AK40" s="279"/>
      <c r="AL40" s="280"/>
      <c r="AM40" s="278"/>
      <c r="AN40" s="279"/>
      <c r="AO40" s="280"/>
    </row>
    <row r="41" spans="2:41" ht="15" thickBot="1">
      <c r="B41" s="240" t="s">
        <v>49</v>
      </c>
      <c r="C41" s="241" t="s">
        <v>60</v>
      </c>
      <c r="D41" s="49">
        <v>2</v>
      </c>
      <c r="E41" s="34">
        <v>30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247">
        <f>SUM(E41:J41)</f>
        <v>30</v>
      </c>
      <c r="L41" s="41">
        <f t="shared" si="3"/>
        <v>16740</v>
      </c>
      <c r="M41" s="42">
        <f t="shared" si="0"/>
        <v>4754.16</v>
      </c>
      <c r="N41" s="237">
        <f t="shared" si="1"/>
        <v>4800</v>
      </c>
      <c r="O41" s="43">
        <f t="shared" si="4"/>
        <v>7185.84</v>
      </c>
      <c r="P41" s="36">
        <v>7650</v>
      </c>
      <c r="Q41" s="37">
        <v>0</v>
      </c>
      <c r="R41" s="37">
        <v>0</v>
      </c>
      <c r="S41" s="44">
        <f t="shared" si="2"/>
        <v>459</v>
      </c>
      <c r="T41" s="37">
        <v>0</v>
      </c>
      <c r="U41" s="47">
        <f>SUM(P41:T41)</f>
        <v>8109</v>
      </c>
      <c r="V41" s="48">
        <f>O41-U41</f>
        <v>-923.15999999999985</v>
      </c>
      <c r="X41" s="201" t="s">
        <v>31</v>
      </c>
      <c r="Y41" s="202">
        <v>0.5</v>
      </c>
      <c r="Z41" s="202">
        <v>1</v>
      </c>
      <c r="AA41" s="205">
        <v>0.25</v>
      </c>
      <c r="AB41" s="203">
        <v>0.5</v>
      </c>
      <c r="AC41" s="204">
        <v>1</v>
      </c>
      <c r="AD41" s="205">
        <v>0.25</v>
      </c>
      <c r="AE41" s="203">
        <v>0.5</v>
      </c>
      <c r="AF41" s="204">
        <v>1</v>
      </c>
      <c r="AG41" s="205">
        <v>0.25</v>
      </c>
      <c r="AH41" s="203">
        <v>0.5</v>
      </c>
      <c r="AI41" s="204">
        <v>1</v>
      </c>
      <c r="AJ41" s="203">
        <v>0.25</v>
      </c>
      <c r="AK41" s="203">
        <v>0.5</v>
      </c>
      <c r="AL41" s="203">
        <v>1</v>
      </c>
      <c r="AM41" s="205">
        <v>0.25</v>
      </c>
      <c r="AN41" s="203">
        <v>0.5</v>
      </c>
      <c r="AO41" s="204">
        <v>1</v>
      </c>
    </row>
    <row r="42" spans="2:41" ht="14.4">
      <c r="B42" s="240" t="s">
        <v>50</v>
      </c>
      <c r="C42" s="241" t="s">
        <v>61</v>
      </c>
      <c r="D42" s="49">
        <v>4</v>
      </c>
      <c r="E42" s="34">
        <v>50</v>
      </c>
      <c r="F42" s="35">
        <v>0</v>
      </c>
      <c r="G42" s="35">
        <v>0</v>
      </c>
      <c r="H42" s="35">
        <v>0</v>
      </c>
      <c r="I42" s="35">
        <v>8</v>
      </c>
      <c r="J42" s="35">
        <v>0</v>
      </c>
      <c r="K42" s="247">
        <f t="shared" ref="K42:K49" si="5">SUM(E42:J42)</f>
        <v>58</v>
      </c>
      <c r="L42" s="41">
        <f t="shared" si="3"/>
        <v>68120</v>
      </c>
      <c r="M42" s="42">
        <f t="shared" si="0"/>
        <v>15847.2</v>
      </c>
      <c r="N42" s="237">
        <f t="shared" si="1"/>
        <v>18560</v>
      </c>
      <c r="O42" s="43">
        <f t="shared" si="4"/>
        <v>33712.800000000003</v>
      </c>
      <c r="P42" s="36">
        <v>4670</v>
      </c>
      <c r="Q42" s="37">
        <v>0</v>
      </c>
      <c r="R42" s="37">
        <v>0</v>
      </c>
      <c r="S42" s="44">
        <f t="shared" si="2"/>
        <v>280.2</v>
      </c>
      <c r="T42" s="37">
        <v>0</v>
      </c>
      <c r="U42" s="47">
        <f t="shared" ref="U42:U49" si="6">SUM(P42:T42)</f>
        <v>4950.2</v>
      </c>
      <c r="V42" s="48">
        <f t="shared" ref="V42:V49" si="7">O42-U42</f>
        <v>28762.600000000002</v>
      </c>
      <c r="X42" s="196" t="s">
        <v>20</v>
      </c>
      <c r="Y42" s="230">
        <f>ROUND(Y39*0.085, 2)</f>
        <v>8075</v>
      </c>
      <c r="Z42" s="230">
        <f>Y42*2</f>
        <v>16150</v>
      </c>
      <c r="AA42" s="224">
        <f>AB42/2</f>
        <v>3318</v>
      </c>
      <c r="AB42" s="225">
        <f>AB43</f>
        <v>6636</v>
      </c>
      <c r="AC42" s="226">
        <f>AB42*2</f>
        <v>13272</v>
      </c>
      <c r="AD42" s="224">
        <f>AE42/2</f>
        <v>3418</v>
      </c>
      <c r="AE42" s="225">
        <f>AE43</f>
        <v>6836</v>
      </c>
      <c r="AF42" s="226">
        <f>AE42*2</f>
        <v>13672</v>
      </c>
      <c r="AG42" s="224">
        <f>AH42/2</f>
        <v>3520</v>
      </c>
      <c r="AH42" s="225">
        <f>AH43</f>
        <v>7040</v>
      </c>
      <c r="AI42" s="226">
        <f>AH42*2</f>
        <v>14080</v>
      </c>
      <c r="AJ42" s="225">
        <f>AK42/2</f>
        <v>3799</v>
      </c>
      <c r="AK42" s="225">
        <f>AK43</f>
        <v>7598</v>
      </c>
      <c r="AL42" s="225">
        <f>AK42*2</f>
        <v>15196</v>
      </c>
      <c r="AM42" s="224">
        <f>AN42/2</f>
        <v>3938</v>
      </c>
      <c r="AN42" s="225">
        <f>AN43</f>
        <v>7876</v>
      </c>
      <c r="AO42" s="226">
        <f>AN42*2</f>
        <v>15752</v>
      </c>
    </row>
    <row r="43" spans="2:41" ht="14.4">
      <c r="B43" s="240" t="s">
        <v>51</v>
      </c>
      <c r="C43" s="241" t="s">
        <v>62</v>
      </c>
      <c r="D43" s="49">
        <v>4</v>
      </c>
      <c r="E43" s="34">
        <v>42</v>
      </c>
      <c r="F43" s="35">
        <v>0</v>
      </c>
      <c r="G43" s="35">
        <v>2</v>
      </c>
      <c r="H43" s="35">
        <v>1</v>
      </c>
      <c r="I43" s="35">
        <v>0</v>
      </c>
      <c r="J43" s="35">
        <v>0</v>
      </c>
      <c r="K43" s="247">
        <f t="shared" si="5"/>
        <v>45</v>
      </c>
      <c r="L43" s="41">
        <f t="shared" si="3"/>
        <v>50600</v>
      </c>
      <c r="M43" s="42">
        <f t="shared" si="0"/>
        <v>14370.4</v>
      </c>
      <c r="N43" s="237">
        <f t="shared" si="1"/>
        <v>14400</v>
      </c>
      <c r="O43" s="43">
        <f t="shared" si="4"/>
        <v>21829.599999999999</v>
      </c>
      <c r="P43" s="36">
        <v>7225</v>
      </c>
      <c r="Q43" s="37">
        <v>3984</v>
      </c>
      <c r="R43" s="37">
        <v>0</v>
      </c>
      <c r="S43" s="44">
        <f t="shared" si="2"/>
        <v>672.54</v>
      </c>
      <c r="T43" s="37">
        <v>0</v>
      </c>
      <c r="U43" s="47">
        <f t="shared" si="6"/>
        <v>11881.54</v>
      </c>
      <c r="V43" s="48">
        <f t="shared" si="7"/>
        <v>9948.0599999999977</v>
      </c>
      <c r="X43" s="196" t="s">
        <v>21</v>
      </c>
      <c r="Y43" s="230">
        <f>ROUND(Y39*0.085,2)</f>
        <v>8075</v>
      </c>
      <c r="Z43" s="230">
        <f>Y43*2</f>
        <v>16150</v>
      </c>
      <c r="AA43" s="224">
        <f>AB43/2</f>
        <v>3318</v>
      </c>
      <c r="AB43" s="225">
        <v>6636</v>
      </c>
      <c r="AC43" s="226">
        <f>AB43*2</f>
        <v>13272</v>
      </c>
      <c r="AD43" s="224">
        <f>AE43/2</f>
        <v>3418</v>
      </c>
      <c r="AE43" s="225">
        <v>6836</v>
      </c>
      <c r="AF43" s="226">
        <f>AE43*2</f>
        <v>13672</v>
      </c>
      <c r="AG43" s="224">
        <f>AH43/2</f>
        <v>3520</v>
      </c>
      <c r="AH43" s="225">
        <v>7040</v>
      </c>
      <c r="AI43" s="226">
        <f>AH43*2</f>
        <v>14080</v>
      </c>
      <c r="AJ43" s="225">
        <f>AK43/2</f>
        <v>3799</v>
      </c>
      <c r="AK43" s="225">
        <v>7598</v>
      </c>
      <c r="AL43" s="225">
        <f>AK43*2</f>
        <v>15196</v>
      </c>
      <c r="AM43" s="224">
        <f>AN43/2</f>
        <v>3938</v>
      </c>
      <c r="AN43" s="225">
        <v>7876</v>
      </c>
      <c r="AO43" s="226">
        <f>AN43*2</f>
        <v>15752</v>
      </c>
    </row>
    <row r="44" spans="2:41" ht="14.4">
      <c r="B44" s="240" t="s">
        <v>52</v>
      </c>
      <c r="C44" s="241" t="s">
        <v>63</v>
      </c>
      <c r="D44" s="49">
        <v>5</v>
      </c>
      <c r="E44" s="34">
        <v>16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247">
        <f t="shared" si="5"/>
        <v>16</v>
      </c>
      <c r="L44" s="41">
        <f t="shared" si="3"/>
        <v>22320</v>
      </c>
      <c r="M44" s="42">
        <f t="shared" si="0"/>
        <v>6338.88</v>
      </c>
      <c r="N44" s="237">
        <f t="shared" si="1"/>
        <v>6400</v>
      </c>
      <c r="O44" s="43">
        <f t="shared" si="4"/>
        <v>9581.119999999999</v>
      </c>
      <c r="P44" s="36">
        <v>5100</v>
      </c>
      <c r="Q44" s="37">
        <v>0</v>
      </c>
      <c r="R44" s="37">
        <v>0</v>
      </c>
      <c r="S44" s="44">
        <f t="shared" si="2"/>
        <v>306</v>
      </c>
      <c r="T44" s="37">
        <v>0</v>
      </c>
      <c r="U44" s="47">
        <f t="shared" si="6"/>
        <v>5406</v>
      </c>
      <c r="V44" s="48">
        <f t="shared" si="7"/>
        <v>4175.119999999999</v>
      </c>
      <c r="X44" s="196" t="s">
        <v>22</v>
      </c>
      <c r="Y44" s="230">
        <f>ROUND(Y39*0.11,2)</f>
        <v>10450</v>
      </c>
      <c r="Z44" s="230">
        <f>Y44*2</f>
        <v>20900</v>
      </c>
      <c r="AA44" s="224">
        <f>AB44/2</f>
        <v>4424</v>
      </c>
      <c r="AB44" s="225">
        <v>8848</v>
      </c>
      <c r="AC44" s="226">
        <f>AB44*2</f>
        <v>17696</v>
      </c>
      <c r="AD44" s="224">
        <f>AE44/2</f>
        <v>4557</v>
      </c>
      <c r="AE44" s="225">
        <v>9114</v>
      </c>
      <c r="AF44" s="226">
        <f>AE44*2</f>
        <v>18228</v>
      </c>
      <c r="AG44" s="224">
        <f>AH44/2</f>
        <v>4694</v>
      </c>
      <c r="AH44" s="225">
        <v>9388</v>
      </c>
      <c r="AI44" s="226">
        <f>AH44*2</f>
        <v>18776</v>
      </c>
      <c r="AJ44" s="225">
        <f>AK44/2</f>
        <v>5065</v>
      </c>
      <c r="AK44" s="225">
        <v>10130</v>
      </c>
      <c r="AL44" s="225">
        <f>AK44*2</f>
        <v>20260</v>
      </c>
      <c r="AM44" s="224">
        <f>AN44/2</f>
        <v>5251</v>
      </c>
      <c r="AN44" s="225">
        <v>10502</v>
      </c>
      <c r="AO44" s="226">
        <f>AN44*2</f>
        <v>21004</v>
      </c>
    </row>
    <row r="45" spans="2:41" ht="14.4">
      <c r="B45" s="240" t="s">
        <v>53</v>
      </c>
      <c r="C45" s="241" t="s">
        <v>64</v>
      </c>
      <c r="D45" s="49">
        <v>5</v>
      </c>
      <c r="E45" s="34">
        <v>88</v>
      </c>
      <c r="F45" s="35">
        <v>0</v>
      </c>
      <c r="G45" s="35">
        <v>0</v>
      </c>
      <c r="H45" s="35">
        <v>0</v>
      </c>
      <c r="I45" s="35">
        <v>0</v>
      </c>
      <c r="J45" s="35">
        <v>3</v>
      </c>
      <c r="K45" s="247">
        <f t="shared" si="5"/>
        <v>91</v>
      </c>
      <c r="L45" s="41">
        <f t="shared" si="3"/>
        <v>128535</v>
      </c>
      <c r="M45" s="42">
        <f t="shared" si="0"/>
        <v>34863.839999999997</v>
      </c>
      <c r="N45" s="237">
        <f t="shared" si="1"/>
        <v>36400</v>
      </c>
      <c r="O45" s="43">
        <f t="shared" si="4"/>
        <v>57271.16</v>
      </c>
      <c r="P45" s="36">
        <v>11050</v>
      </c>
      <c r="Q45" s="37">
        <v>0</v>
      </c>
      <c r="R45" s="37">
        <v>0</v>
      </c>
      <c r="S45" s="44">
        <f t="shared" si="2"/>
        <v>663</v>
      </c>
      <c r="T45" s="37">
        <v>0</v>
      </c>
      <c r="U45" s="47">
        <f t="shared" si="6"/>
        <v>11713</v>
      </c>
      <c r="V45" s="48">
        <f t="shared" si="7"/>
        <v>45558.16</v>
      </c>
      <c r="X45" s="196" t="s">
        <v>23</v>
      </c>
      <c r="Y45" s="230">
        <f>ROUND(Y39*0.125,2)</f>
        <v>11875</v>
      </c>
      <c r="Z45" s="230">
        <f>Y45*2</f>
        <v>23750</v>
      </c>
      <c r="AA45" s="224">
        <f>AB45/2</f>
        <v>4977</v>
      </c>
      <c r="AB45" s="225">
        <v>9954</v>
      </c>
      <c r="AC45" s="226">
        <f>AB45*2</f>
        <v>19908</v>
      </c>
      <c r="AD45" s="224">
        <f>AE45/2</f>
        <v>5127</v>
      </c>
      <c r="AE45" s="225">
        <v>10254</v>
      </c>
      <c r="AF45" s="226">
        <f>AE45*2</f>
        <v>20508</v>
      </c>
      <c r="AG45" s="224">
        <f>AH45/2</f>
        <v>5280</v>
      </c>
      <c r="AH45" s="225">
        <v>10560</v>
      </c>
      <c r="AI45" s="226">
        <f>AH45*2</f>
        <v>21120</v>
      </c>
      <c r="AJ45" s="225">
        <f>AK45/2</f>
        <v>5698.5</v>
      </c>
      <c r="AK45" s="225">
        <v>11397</v>
      </c>
      <c r="AL45" s="225">
        <f>AK45*2</f>
        <v>22794</v>
      </c>
      <c r="AM45" s="224">
        <f>AN45/2</f>
        <v>5907</v>
      </c>
      <c r="AN45" s="225">
        <v>11814</v>
      </c>
      <c r="AO45" s="226">
        <f>AN45*2</f>
        <v>23628</v>
      </c>
    </row>
    <row r="46" spans="2:41" ht="15" thickBot="1">
      <c r="B46" s="240" t="s">
        <v>54</v>
      </c>
      <c r="C46" s="241" t="s">
        <v>65</v>
      </c>
      <c r="D46" s="49">
        <v>4</v>
      </c>
      <c r="E46" s="34">
        <v>117</v>
      </c>
      <c r="F46" s="35">
        <v>0</v>
      </c>
      <c r="G46" s="35">
        <v>5</v>
      </c>
      <c r="H46" s="35">
        <v>0</v>
      </c>
      <c r="I46" s="35">
        <v>13</v>
      </c>
      <c r="J46" s="35">
        <v>0</v>
      </c>
      <c r="K46" s="247">
        <f t="shared" si="5"/>
        <v>135</v>
      </c>
      <c r="L46" s="41">
        <f t="shared" si="3"/>
        <v>156172</v>
      </c>
      <c r="M46" s="42">
        <f t="shared" si="0"/>
        <v>38667.17</v>
      </c>
      <c r="N46" s="237">
        <f t="shared" si="1"/>
        <v>43200</v>
      </c>
      <c r="O46" s="43">
        <f t="shared" si="4"/>
        <v>74304.83</v>
      </c>
      <c r="P46" s="36">
        <v>10200</v>
      </c>
      <c r="Q46" s="37">
        <f>3984*4</f>
        <v>15936</v>
      </c>
      <c r="R46" s="37">
        <v>0</v>
      </c>
      <c r="S46" s="44">
        <f t="shared" si="2"/>
        <v>1568.16</v>
      </c>
      <c r="T46" s="37">
        <v>0</v>
      </c>
      <c r="U46" s="47">
        <f t="shared" si="6"/>
        <v>27704.16</v>
      </c>
      <c r="V46" s="48">
        <f t="shared" si="7"/>
        <v>46600.67</v>
      </c>
      <c r="X46" s="197" t="s">
        <v>24</v>
      </c>
      <c r="Y46" s="231">
        <f>ROUND(Y39*0.14,2)</f>
        <v>13300</v>
      </c>
      <c r="Z46" s="231">
        <f>Y46*2</f>
        <v>26600</v>
      </c>
      <c r="AA46" s="227">
        <f>AB46/2</f>
        <v>5530.5</v>
      </c>
      <c r="AB46" s="228">
        <v>11061</v>
      </c>
      <c r="AC46" s="229">
        <f>AB46*2</f>
        <v>22122</v>
      </c>
      <c r="AD46" s="227">
        <f>AE46/2</f>
        <v>5695.5</v>
      </c>
      <c r="AE46" s="228">
        <v>11391</v>
      </c>
      <c r="AF46" s="229">
        <f>AE46*2</f>
        <v>22782</v>
      </c>
      <c r="AG46" s="227">
        <f>AH46/2</f>
        <v>5866.5</v>
      </c>
      <c r="AH46" s="228">
        <v>11733</v>
      </c>
      <c r="AI46" s="229">
        <f>AH46*2</f>
        <v>23466</v>
      </c>
      <c r="AJ46" s="228">
        <f>AK46/2</f>
        <v>6331.5</v>
      </c>
      <c r="AK46" s="228">
        <v>12663</v>
      </c>
      <c r="AL46" s="228">
        <f>AK46*2</f>
        <v>25326</v>
      </c>
      <c r="AM46" s="227">
        <f>AN46/2</f>
        <v>6564</v>
      </c>
      <c r="AN46" s="228">
        <v>13128</v>
      </c>
      <c r="AO46" s="229">
        <f>AN46*2</f>
        <v>26256</v>
      </c>
    </row>
    <row r="47" spans="2:41">
      <c r="B47" s="240" t="s">
        <v>55</v>
      </c>
      <c r="C47" s="241" t="s">
        <v>66</v>
      </c>
      <c r="D47" s="49">
        <v>4</v>
      </c>
      <c r="E47" s="34">
        <v>51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247">
        <f t="shared" si="5"/>
        <v>51</v>
      </c>
      <c r="L47" s="41">
        <f t="shared" si="3"/>
        <v>56916</v>
      </c>
      <c r="M47" s="42">
        <f t="shared" si="0"/>
        <v>16164.14</v>
      </c>
      <c r="N47" s="237">
        <f t="shared" si="1"/>
        <v>16320</v>
      </c>
      <c r="O47" s="43">
        <f t="shared" si="4"/>
        <v>24431.86</v>
      </c>
      <c r="P47" s="36">
        <v>8075</v>
      </c>
      <c r="Q47" s="37">
        <v>4446</v>
      </c>
      <c r="R47" s="37">
        <v>0</v>
      </c>
      <c r="S47" s="44">
        <f t="shared" si="2"/>
        <v>751.26</v>
      </c>
      <c r="T47" s="37">
        <v>0</v>
      </c>
      <c r="U47" s="47">
        <f t="shared" si="6"/>
        <v>13272.26</v>
      </c>
      <c r="V47" s="48">
        <f t="shared" si="7"/>
        <v>11159.6</v>
      </c>
      <c r="AB47" s="59" t="s">
        <v>80</v>
      </c>
    </row>
    <row r="48" spans="2:41">
      <c r="B48" s="240" t="s">
        <v>56</v>
      </c>
      <c r="C48" s="241" t="s">
        <v>26</v>
      </c>
      <c r="D48" s="49">
        <v>4</v>
      </c>
      <c r="E48" s="34">
        <v>28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247">
        <f t="shared" si="5"/>
        <v>28</v>
      </c>
      <c r="L48" s="41">
        <f t="shared" si="3"/>
        <v>31248</v>
      </c>
      <c r="M48" s="42">
        <f t="shared" si="0"/>
        <v>8874.43</v>
      </c>
      <c r="N48" s="237">
        <f t="shared" si="1"/>
        <v>8960</v>
      </c>
      <c r="O48" s="43">
        <f t="shared" si="4"/>
        <v>13413.57</v>
      </c>
      <c r="P48" s="36">
        <v>6800</v>
      </c>
      <c r="Q48" s="37">
        <v>2335</v>
      </c>
      <c r="R48" s="37">
        <v>0</v>
      </c>
      <c r="S48" s="44">
        <f t="shared" si="2"/>
        <v>548.1</v>
      </c>
      <c r="T48" s="37">
        <v>0</v>
      </c>
      <c r="U48" s="47">
        <f t="shared" si="6"/>
        <v>9683.1</v>
      </c>
      <c r="V48" s="48">
        <f t="shared" si="7"/>
        <v>3730.4699999999993</v>
      </c>
      <c r="X48" s="14" t="s">
        <v>84</v>
      </c>
    </row>
    <row r="49" spans="2:30" ht="14.4" thickBot="1">
      <c r="B49" s="242" t="s">
        <v>57</v>
      </c>
      <c r="C49" s="243" t="s">
        <v>67</v>
      </c>
      <c r="D49" s="49">
        <v>5</v>
      </c>
      <c r="E49" s="34">
        <v>11</v>
      </c>
      <c r="F49" s="35">
        <v>0</v>
      </c>
      <c r="G49" s="35">
        <v>0</v>
      </c>
      <c r="H49" s="35">
        <v>0</v>
      </c>
      <c r="I49" s="35">
        <v>1</v>
      </c>
      <c r="J49" s="35">
        <v>0</v>
      </c>
      <c r="K49" s="247">
        <f t="shared" si="5"/>
        <v>12</v>
      </c>
      <c r="L49" s="41">
        <f t="shared" si="3"/>
        <v>17270</v>
      </c>
      <c r="M49" s="42">
        <f t="shared" si="0"/>
        <v>4357.9799999999996</v>
      </c>
      <c r="N49" s="237">
        <f t="shared" si="1"/>
        <v>4800</v>
      </c>
      <c r="O49" s="43">
        <f t="shared" si="4"/>
        <v>8112.02</v>
      </c>
      <c r="P49" s="36">
        <v>7650</v>
      </c>
      <c r="Q49" s="37">
        <v>0</v>
      </c>
      <c r="R49" s="37">
        <v>0</v>
      </c>
      <c r="S49" s="44">
        <f t="shared" si="2"/>
        <v>459</v>
      </c>
      <c r="T49" s="37">
        <v>0</v>
      </c>
      <c r="U49" s="47">
        <f t="shared" si="6"/>
        <v>8109</v>
      </c>
      <c r="V49" s="48">
        <f t="shared" si="7"/>
        <v>3.0200000000004366</v>
      </c>
      <c r="X49" s="146" t="s">
        <v>83</v>
      </c>
      <c r="AA49" s="89"/>
      <c r="AB49" s="89"/>
      <c r="AC49" s="89"/>
      <c r="AD49" s="89"/>
    </row>
    <row r="50" spans="2:30" ht="14.4" thickBot="1">
      <c r="B50" s="281" t="s">
        <v>9</v>
      </c>
      <c r="C50" s="282"/>
      <c r="D50" s="283"/>
      <c r="E50" s="263">
        <f t="shared" ref="E50:V50" si="8">SUM(E40:E49)</f>
        <v>483</v>
      </c>
      <c r="F50" s="264">
        <f t="shared" si="8"/>
        <v>0</v>
      </c>
      <c r="G50" s="264">
        <f t="shared" si="8"/>
        <v>8</v>
      </c>
      <c r="H50" s="264">
        <f t="shared" si="8"/>
        <v>1</v>
      </c>
      <c r="I50" s="264">
        <f t="shared" si="8"/>
        <v>27</v>
      </c>
      <c r="J50" s="265">
        <f t="shared" si="8"/>
        <v>4</v>
      </c>
      <c r="K50" s="266">
        <f t="shared" si="8"/>
        <v>523</v>
      </c>
      <c r="L50" s="267">
        <f t="shared" si="8"/>
        <v>614077</v>
      </c>
      <c r="M50" s="268">
        <f t="shared" si="8"/>
        <v>160402.34</v>
      </c>
      <c r="N50" s="269">
        <f t="shared" si="8"/>
        <v>172080</v>
      </c>
      <c r="O50" s="270">
        <f t="shared" si="8"/>
        <v>281594.66000000003</v>
      </c>
      <c r="P50" s="263">
        <f t="shared" si="8"/>
        <v>75220</v>
      </c>
      <c r="Q50" s="264">
        <f t="shared" si="8"/>
        <v>28693</v>
      </c>
      <c r="R50" s="264">
        <f t="shared" si="8"/>
        <v>0</v>
      </c>
      <c r="S50" s="264">
        <f t="shared" si="8"/>
        <v>6234.7800000000007</v>
      </c>
      <c r="T50" s="264">
        <f t="shared" si="8"/>
        <v>0</v>
      </c>
      <c r="U50" s="271">
        <f t="shared" si="8"/>
        <v>110147.78</v>
      </c>
      <c r="V50" s="272">
        <f t="shared" si="8"/>
        <v>171446.87999999998</v>
      </c>
      <c r="X50" s="38" t="str">
        <f>'Revenue Simulation'!X26</f>
        <v>TA rates effective October 1, 2024</v>
      </c>
    </row>
    <row r="51" spans="2:30">
      <c r="C51" s="5"/>
      <c r="D51" s="4"/>
      <c r="L51" s="6"/>
      <c r="N51" s="6"/>
      <c r="O51" s="15"/>
      <c r="P51" s="15"/>
      <c r="Q51" s="15"/>
      <c r="R51" s="15"/>
      <c r="S51" s="15"/>
      <c r="T51" s="15"/>
      <c r="U51" s="15"/>
    </row>
    <row r="52" spans="2:30">
      <c r="B52" s="171" t="s">
        <v>42</v>
      </c>
      <c r="C52" s="172"/>
      <c r="D52" s="172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6"/>
      <c r="P52" s="156"/>
      <c r="Q52" s="156"/>
      <c r="R52" s="156"/>
      <c r="S52" s="156"/>
      <c r="T52" s="156"/>
      <c r="U52" s="156"/>
      <c r="V52" s="156"/>
      <c r="AC52" s="20"/>
    </row>
    <row r="53" spans="2:30">
      <c r="B53" s="173" t="s">
        <v>96</v>
      </c>
      <c r="C53" s="173"/>
      <c r="D53" s="173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6"/>
      <c r="P53" s="156"/>
      <c r="Q53" s="156"/>
      <c r="R53" s="156"/>
      <c r="S53" s="156"/>
      <c r="T53" s="156"/>
      <c r="U53" s="156"/>
      <c r="V53" s="156"/>
    </row>
    <row r="54" spans="2:30">
      <c r="B54" s="173" t="s">
        <v>43</v>
      </c>
      <c r="C54" s="173"/>
      <c r="D54" s="173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6"/>
      <c r="P54" s="156"/>
      <c r="Q54" s="156"/>
      <c r="R54" s="156"/>
      <c r="S54" s="156"/>
      <c r="T54" s="156"/>
      <c r="U54" s="156"/>
      <c r="V54" s="156"/>
    </row>
  </sheetData>
  <mergeCells count="26">
    <mergeCell ref="AA39:AC40"/>
    <mergeCell ref="X39:X40"/>
    <mergeCell ref="Y39:Z40"/>
    <mergeCell ref="AD39:AF40"/>
    <mergeCell ref="AG39:AI40"/>
    <mergeCell ref="B2:V2"/>
    <mergeCell ref="B17:V17"/>
    <mergeCell ref="I13:J13"/>
    <mergeCell ref="M13:P13"/>
    <mergeCell ref="S13:V13"/>
    <mergeCell ref="AJ39:AL40"/>
    <mergeCell ref="AM39:AO40"/>
    <mergeCell ref="B50:D50"/>
    <mergeCell ref="B25:V25"/>
    <mergeCell ref="B13:F13"/>
    <mergeCell ref="E14:F14"/>
    <mergeCell ref="E15:F15"/>
    <mergeCell ref="V37:V38"/>
    <mergeCell ref="B35:D36"/>
    <mergeCell ref="E35:K36"/>
    <mergeCell ref="L35:O36"/>
    <mergeCell ref="P35:U36"/>
    <mergeCell ref="K37:K38"/>
    <mergeCell ref="X38:Z38"/>
    <mergeCell ref="X37:AO37"/>
    <mergeCell ref="AA38:AO38"/>
  </mergeCells>
  <hyperlinks>
    <hyperlink ref="B23" location="'Revenue Simulation'!A1" display="Use the simulation tab (the second tab) to test different expense and enrollment scenarios and see how they affect revenue." xr:uid="{00000000-0004-0000-0000-000000000000}"/>
    <hyperlink ref="B23:L23" location="'Revenue Simulation'!A1" display="Use the simulation tab (the second tab) to test different expense and enrollment scenarios and see how they affect revenue." xr:uid="{00000000-0004-0000-0000-000001000000}"/>
    <hyperlink ref="X49" r:id="rId1" xr:uid="{00000000-0004-0000-0000-000002000000}"/>
    <hyperlink ref="M20" r:id="rId2" display="LINK" xr:uid="{00000000-0004-0000-0000-000003000000}"/>
  </hyperlinks>
  <pageMargins left="0.7" right="0.7" top="0.75" bottom="0.75" header="0.3" footer="0.3"/>
  <pageSetup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O42"/>
  <sheetViews>
    <sheetView showGridLines="0" tabSelected="1" zoomScale="70" zoomScaleNormal="70" workbookViewId="0">
      <selection activeCell="B1" sqref="B1:V1"/>
    </sheetView>
  </sheetViews>
  <sheetFormatPr defaultColWidth="9.109375" defaultRowHeight="13.8"/>
  <cols>
    <col min="1" max="1" width="1" style="1" customWidth="1"/>
    <col min="2" max="2" width="24.109375" style="2" customWidth="1"/>
    <col min="3" max="3" width="22.33203125" style="1" customWidth="1"/>
    <col min="4" max="4" width="9.6640625" style="1" customWidth="1"/>
    <col min="5" max="5" width="9.44140625" style="1" bestFit="1" customWidth="1"/>
    <col min="6" max="6" width="9.33203125" style="1" bestFit="1" customWidth="1"/>
    <col min="7" max="7" width="10.44140625" style="1" bestFit="1" customWidth="1"/>
    <col min="8" max="8" width="10.44140625" style="1" customWidth="1"/>
    <col min="9" max="9" width="11.6640625" style="1" customWidth="1"/>
    <col min="10" max="10" width="11.5546875" style="1" customWidth="1"/>
    <col min="11" max="11" width="13.5546875" style="1" customWidth="1"/>
    <col min="12" max="12" width="10" style="1" customWidth="1"/>
    <col min="13" max="13" width="8.6640625" style="1" customWidth="1"/>
    <col min="14" max="14" width="13.109375" style="1" customWidth="1"/>
    <col min="15" max="15" width="11.6640625" style="14" customWidth="1"/>
    <col min="16" max="16" width="8.6640625" style="14" customWidth="1"/>
    <col min="17" max="17" width="8.44140625" style="14" customWidth="1"/>
    <col min="18" max="18" width="7.109375" style="14" customWidth="1"/>
    <col min="19" max="20" width="8.44140625" style="14" bestFit="1" customWidth="1"/>
    <col min="21" max="21" width="9.44140625" style="14" bestFit="1" customWidth="1"/>
    <col min="22" max="22" width="15.33203125" style="14" customWidth="1"/>
    <col min="23" max="23" width="3" style="1" customWidth="1"/>
    <col min="24" max="24" width="15.6640625" style="1" customWidth="1"/>
    <col min="25" max="25" width="9.6640625" style="1" customWidth="1"/>
    <col min="26" max="26" width="13" style="1" bestFit="1" customWidth="1"/>
    <col min="27" max="27" width="13.109375" style="1" bestFit="1" customWidth="1"/>
    <col min="28" max="28" width="13" style="1" customWidth="1"/>
    <col min="29" max="29" width="12.5546875" style="1" customWidth="1"/>
    <col min="30" max="30" width="13" style="1" customWidth="1"/>
    <col min="31" max="31" width="12.5546875" style="1" customWidth="1"/>
    <col min="32" max="32" width="11.6640625" style="1" customWidth="1"/>
    <col min="33" max="34" width="9.5546875" style="1" bestFit="1" customWidth="1"/>
    <col min="35" max="35" width="13.33203125" style="1" customWidth="1"/>
    <col min="36" max="16384" width="9.109375" style="1"/>
  </cols>
  <sheetData>
    <row r="1" spans="2:41" ht="21">
      <c r="B1" s="357" t="str">
        <f>cur_year&amp;" SUMMER SESSIONS DEPARTMENT REVENUE SIMULATION FOR COURSES - Updated "&amp; TEXT(Instructions!B1,"m/dd/yy")</f>
        <v>2025 SUMMER SESSIONS DEPARTMENT REVENUE SIMULATION FOR COURSES - Updated 11/08/24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AI1" s="274">
        <v>2025</v>
      </c>
    </row>
    <row r="2" spans="2:41" ht="18">
      <c r="B2" s="356" t="s">
        <v>72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</row>
    <row r="3" spans="2:41" s="9" customFormat="1" ht="15" thickBot="1">
      <c r="O3" s="12"/>
    </row>
    <row r="4" spans="2:41" s="9" customFormat="1" ht="19.2" customHeight="1">
      <c r="B4" s="284" t="s">
        <v>69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6"/>
      <c r="W4" s="19"/>
      <c r="X4" s="330" t="str">
        <f>"SUMMER "&amp;cur_year&amp;" UNIT FEES"</f>
        <v>SUMMER 2025 UNIT FEES</v>
      </c>
      <c r="Y4" s="331"/>
      <c r="Z4" s="331"/>
      <c r="AA4" s="332"/>
      <c r="AB4" s="7"/>
      <c r="AC4" s="284" t="s">
        <v>73</v>
      </c>
      <c r="AD4" s="286"/>
      <c r="AF4" s="333" t="s">
        <v>91</v>
      </c>
      <c r="AG4" s="334"/>
      <c r="AH4" s="334"/>
      <c r="AI4" s="335"/>
    </row>
    <row r="5" spans="2:41" s="9" customFormat="1" ht="14.4">
      <c r="B5" s="209" t="s">
        <v>71</v>
      </c>
      <c r="C5" s="60"/>
      <c r="D5" s="7"/>
      <c r="E5" s="7"/>
      <c r="F5" s="7"/>
      <c r="G5" s="7"/>
      <c r="H5" s="7"/>
      <c r="I5" s="7"/>
      <c r="J5" s="7"/>
      <c r="K5" s="13"/>
      <c r="L5" s="13"/>
      <c r="M5" s="13"/>
      <c r="N5" s="13"/>
      <c r="O5" s="52"/>
      <c r="P5" s="22"/>
      <c r="Q5" s="21"/>
      <c r="R5" s="21"/>
      <c r="S5" s="19"/>
      <c r="T5" s="19"/>
      <c r="U5" s="19"/>
      <c r="V5" s="81"/>
      <c r="W5" s="19"/>
      <c r="X5" s="158" t="s">
        <v>38</v>
      </c>
      <c r="Y5" s="158" t="s">
        <v>39</v>
      </c>
      <c r="Z5" s="158" t="s">
        <v>40</v>
      </c>
      <c r="AA5" s="216" t="s">
        <v>41</v>
      </c>
      <c r="AB5" s="7"/>
      <c r="AC5" s="221" t="s">
        <v>45</v>
      </c>
      <c r="AD5" s="222" t="s">
        <v>39</v>
      </c>
      <c r="AF5" s="336"/>
      <c r="AG5" s="337"/>
      <c r="AH5" s="337"/>
      <c r="AI5" s="338"/>
    </row>
    <row r="6" spans="2:41" s="9" customFormat="1" ht="15" thickBot="1">
      <c r="B6" s="210" t="s">
        <v>101</v>
      </c>
      <c r="C6" s="7"/>
      <c r="D6" s="13"/>
      <c r="E6" s="7"/>
      <c r="F6" s="7"/>
      <c r="G6" s="7"/>
      <c r="H6" s="7"/>
      <c r="I6" s="7"/>
      <c r="J6" s="7"/>
      <c r="L6" s="251"/>
      <c r="M6" s="13"/>
      <c r="N6" s="13"/>
      <c r="O6" s="52"/>
      <c r="P6" s="22"/>
      <c r="Q6" s="21"/>
      <c r="R6" s="21"/>
      <c r="S6" s="19"/>
      <c r="T6" s="19"/>
      <c r="U6" s="19"/>
      <c r="V6" s="81"/>
      <c r="W6" s="19"/>
      <c r="X6" s="76">
        <v>279</v>
      </c>
      <c r="Y6" s="77">
        <v>374</v>
      </c>
      <c r="Z6" s="77">
        <v>385</v>
      </c>
      <c r="AA6" s="217">
        <f>Z6</f>
        <v>385</v>
      </c>
      <c r="AB6" s="7"/>
      <c r="AC6" s="78">
        <f>X6*0.284</f>
        <v>79.23599999999999</v>
      </c>
      <c r="AD6" s="79">
        <f>Y6*0.284</f>
        <v>106.21599999999999</v>
      </c>
      <c r="AF6" s="339" t="str">
        <f>_xlfn.CONCAT("$",overhead_rate," (Estimate for revenue simulation purposes)")</f>
        <v>$80 (Estimate for revenue simulation purposes)</v>
      </c>
      <c r="AG6" s="340"/>
      <c r="AH6" s="340"/>
      <c r="AI6" s="341"/>
    </row>
    <row r="7" spans="2:41" s="9" customFormat="1" ht="15" thickBot="1">
      <c r="B7" s="210" t="s">
        <v>103</v>
      </c>
      <c r="C7" s="8"/>
      <c r="D7" s="13"/>
      <c r="E7" s="7"/>
      <c r="F7" s="13"/>
      <c r="G7" s="70"/>
      <c r="H7" s="13"/>
      <c r="J7" s="234" t="s">
        <v>102</v>
      </c>
      <c r="K7" s="252" t="s">
        <v>86</v>
      </c>
      <c r="L7" s="53"/>
      <c r="N7" s="53"/>
      <c r="O7" s="52"/>
      <c r="P7" s="22"/>
      <c r="Q7" s="21"/>
      <c r="R7" s="21"/>
      <c r="S7" s="19"/>
      <c r="T7" s="19"/>
      <c r="U7" s="19"/>
      <c r="V7" s="81"/>
      <c r="W7" s="19"/>
      <c r="AI7" s="273">
        <v>80</v>
      </c>
    </row>
    <row r="8" spans="2:41" s="9" customFormat="1" ht="18">
      <c r="B8" s="210" t="s">
        <v>75</v>
      </c>
      <c r="C8" s="13"/>
      <c r="D8" s="13"/>
      <c r="E8" s="7"/>
      <c r="F8" s="7"/>
      <c r="G8" s="7"/>
      <c r="H8" s="7"/>
      <c r="I8" s="7"/>
      <c r="J8" s="7"/>
      <c r="K8" s="13"/>
      <c r="L8" s="13"/>
      <c r="M8" s="13"/>
      <c r="N8" s="13"/>
      <c r="O8" s="52"/>
      <c r="P8" s="22"/>
      <c r="Q8" s="21"/>
      <c r="R8" s="21"/>
      <c r="S8" s="19"/>
      <c r="T8" s="19"/>
      <c r="U8" s="19"/>
      <c r="V8" s="81"/>
      <c r="W8" s="19"/>
      <c r="X8" s="1"/>
      <c r="Y8" s="1"/>
      <c r="Z8" s="1"/>
      <c r="AA8" s="14"/>
      <c r="AB8" s="353" t="s">
        <v>92</v>
      </c>
      <c r="AC8" s="354"/>
      <c r="AD8" s="354"/>
      <c r="AE8" s="355"/>
      <c r="AF8" s="1"/>
      <c r="AG8" s="1"/>
      <c r="AH8" s="1"/>
      <c r="AI8" s="1"/>
    </row>
    <row r="9" spans="2:41" s="9" customFormat="1" ht="15" thickBot="1">
      <c r="B9" s="211" t="s">
        <v>74</v>
      </c>
      <c r="C9" s="212"/>
      <c r="D9" s="212"/>
      <c r="E9" s="213"/>
      <c r="F9" s="213"/>
      <c r="G9" s="213"/>
      <c r="H9" s="213"/>
      <c r="I9" s="213"/>
      <c r="J9" s="213"/>
      <c r="K9" s="212"/>
      <c r="L9" s="212"/>
      <c r="M9" s="212"/>
      <c r="N9" s="212"/>
      <c r="O9" s="214"/>
      <c r="P9" s="215"/>
      <c r="Q9" s="199"/>
      <c r="R9" s="199"/>
      <c r="S9" s="198"/>
      <c r="T9" s="198"/>
      <c r="U9" s="198"/>
      <c r="V9" s="200"/>
      <c r="W9" s="19"/>
      <c r="Y9" s="1"/>
      <c r="Z9" s="1"/>
      <c r="AA9" s="14"/>
      <c r="AB9" s="158" t="s">
        <v>38</v>
      </c>
      <c r="AC9" s="159" t="s">
        <v>39</v>
      </c>
      <c r="AD9" s="159" t="s">
        <v>40</v>
      </c>
      <c r="AE9" s="170" t="s">
        <v>41</v>
      </c>
      <c r="AF9" s="1"/>
      <c r="AG9" s="1"/>
      <c r="AH9" s="1"/>
      <c r="AI9" s="1"/>
    </row>
    <row r="10" spans="2:41" s="9" customFormat="1" ht="16.5" customHeight="1" thickBot="1">
      <c r="B10" s="14" t="s">
        <v>84</v>
      </c>
      <c r="C10" s="1"/>
      <c r="D10" s="1"/>
      <c r="E10" s="7"/>
      <c r="F10" s="7"/>
      <c r="G10" s="7"/>
      <c r="H10" s="7"/>
      <c r="I10" s="7"/>
      <c r="J10" s="7"/>
      <c r="K10" s="13"/>
      <c r="L10" s="13"/>
      <c r="M10" s="13"/>
      <c r="N10" s="13"/>
      <c r="O10" s="52"/>
      <c r="P10" s="22"/>
      <c r="Q10" s="21"/>
      <c r="R10" s="21"/>
      <c r="S10" s="19"/>
      <c r="T10" s="19"/>
      <c r="U10" s="19"/>
      <c r="V10" s="19"/>
      <c r="W10" s="19"/>
      <c r="Y10" s="1"/>
      <c r="Z10" s="1"/>
      <c r="AA10" s="14"/>
      <c r="AB10" s="218">
        <f>X6-AC6-overhead_rate</f>
        <v>119.76400000000001</v>
      </c>
      <c r="AC10" s="219">
        <f>Y6-AD6-overhead_rate</f>
        <v>187.78399999999999</v>
      </c>
      <c r="AD10" s="219">
        <f>Z6-overhead_rate</f>
        <v>305</v>
      </c>
      <c r="AE10" s="220">
        <f>AA6-overhead_rate</f>
        <v>305</v>
      </c>
      <c r="AF10" s="1"/>
      <c r="AG10" s="1"/>
      <c r="AH10" s="1"/>
      <c r="AI10" s="1"/>
    </row>
    <row r="11" spans="2:41" s="9" customFormat="1" ht="14.4">
      <c r="B11" s="146" t="s">
        <v>83</v>
      </c>
      <c r="C11" s="1"/>
      <c r="D11" s="1"/>
      <c r="E11" s="7"/>
      <c r="F11" s="7"/>
      <c r="G11" s="7"/>
      <c r="H11" s="7"/>
      <c r="I11" s="7"/>
      <c r="J11" s="7"/>
      <c r="K11" s="13"/>
      <c r="L11" s="13"/>
      <c r="M11" s="13"/>
      <c r="N11" s="13"/>
      <c r="O11" s="52"/>
      <c r="P11" s="22"/>
      <c r="Q11" s="21"/>
      <c r="R11" s="21"/>
      <c r="S11" s="19"/>
      <c r="T11" s="19"/>
      <c r="U11" s="19"/>
      <c r="V11" s="19"/>
      <c r="W11" s="19"/>
      <c r="Y11" s="1"/>
      <c r="Z11" s="1"/>
      <c r="AA11" s="14"/>
      <c r="AB11" s="150"/>
      <c r="AC11" s="150"/>
      <c r="AD11" s="150"/>
      <c r="AE11" s="150"/>
      <c r="AF11" s="1"/>
      <c r="AG11" s="1"/>
      <c r="AH11" s="1"/>
      <c r="AI11" s="1"/>
    </row>
    <row r="12" spans="2:41" ht="15" thickBot="1">
      <c r="B12" s="1"/>
      <c r="C12" s="16"/>
      <c r="D12" s="16"/>
      <c r="E12" s="7"/>
      <c r="F12" s="7"/>
      <c r="G12" s="7"/>
      <c r="H12" s="7"/>
      <c r="I12" s="7"/>
      <c r="J12" s="7"/>
      <c r="K12" s="16"/>
      <c r="L12" s="16"/>
      <c r="M12" s="16"/>
      <c r="N12" s="16"/>
      <c r="P12" s="1"/>
      <c r="Q12" s="1"/>
      <c r="R12" s="1"/>
      <c r="S12" s="1"/>
      <c r="T12" s="1"/>
      <c r="U12" s="1"/>
      <c r="V12" s="1"/>
      <c r="X12" s="20" t="s">
        <v>85</v>
      </c>
      <c r="AA12" s="14"/>
      <c r="AB12" s="14"/>
      <c r="AC12" s="14"/>
      <c r="AD12" s="14"/>
    </row>
    <row r="13" spans="2:41" ht="16.95" customHeight="1" thickBot="1">
      <c r="B13" s="358" t="s">
        <v>28</v>
      </c>
      <c r="C13" s="359"/>
      <c r="D13" s="360"/>
      <c r="E13" s="347" t="s">
        <v>30</v>
      </c>
      <c r="F13" s="348"/>
      <c r="G13" s="348"/>
      <c r="H13" s="348"/>
      <c r="I13" s="348"/>
      <c r="J13" s="348"/>
      <c r="K13" s="349"/>
      <c r="L13" s="347" t="s">
        <v>70</v>
      </c>
      <c r="M13" s="348"/>
      <c r="N13" s="348"/>
      <c r="O13" s="349"/>
      <c r="P13" s="347" t="s">
        <v>18</v>
      </c>
      <c r="Q13" s="348"/>
      <c r="R13" s="348"/>
      <c r="S13" s="348"/>
      <c r="T13" s="348"/>
      <c r="U13" s="349"/>
      <c r="V13" s="151" t="s">
        <v>25</v>
      </c>
      <c r="X13" s="309" t="s">
        <v>68</v>
      </c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0"/>
      <c r="AL13" s="310"/>
      <c r="AM13" s="310"/>
      <c r="AN13" s="310"/>
      <c r="AO13" s="311"/>
    </row>
    <row r="14" spans="2:41" ht="16.95" customHeight="1" thickBot="1">
      <c r="B14" s="361"/>
      <c r="C14" s="362"/>
      <c r="D14" s="363"/>
      <c r="E14" s="350"/>
      <c r="F14" s="351"/>
      <c r="G14" s="351"/>
      <c r="H14" s="351"/>
      <c r="I14" s="351"/>
      <c r="J14" s="351"/>
      <c r="K14" s="352"/>
      <c r="L14" s="350"/>
      <c r="M14" s="351"/>
      <c r="N14" s="351"/>
      <c r="O14" s="352"/>
      <c r="P14" s="350"/>
      <c r="Q14" s="351"/>
      <c r="R14" s="351"/>
      <c r="S14" s="351"/>
      <c r="T14" s="351"/>
      <c r="U14" s="352"/>
      <c r="V14" s="152" t="s">
        <v>0</v>
      </c>
      <c r="X14" s="307" t="s">
        <v>1</v>
      </c>
      <c r="Y14" s="308"/>
      <c r="Z14" s="308"/>
      <c r="AA14" s="312" t="s">
        <v>2</v>
      </c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4"/>
    </row>
    <row r="15" spans="2:41" s="3" customFormat="1" ht="27.45" customHeight="1">
      <c r="B15" s="90" t="s">
        <v>27</v>
      </c>
      <c r="C15" s="92" t="s">
        <v>29</v>
      </c>
      <c r="D15" s="94" t="s">
        <v>17</v>
      </c>
      <c r="E15" s="56" t="s">
        <v>10</v>
      </c>
      <c r="F15" s="96" t="s">
        <v>11</v>
      </c>
      <c r="G15" s="96" t="s">
        <v>12</v>
      </c>
      <c r="H15" s="96" t="s">
        <v>13</v>
      </c>
      <c r="I15" s="96" t="s">
        <v>14</v>
      </c>
      <c r="J15" s="96" t="s">
        <v>15</v>
      </c>
      <c r="K15" s="364" t="s">
        <v>6</v>
      </c>
      <c r="L15" s="137" t="s">
        <v>16</v>
      </c>
      <c r="M15" s="54" t="s">
        <v>44</v>
      </c>
      <c r="N15" s="176" t="s">
        <v>90</v>
      </c>
      <c r="O15" s="55" t="s">
        <v>81</v>
      </c>
      <c r="P15" s="140" t="s">
        <v>1</v>
      </c>
      <c r="Q15" s="141" t="s">
        <v>2</v>
      </c>
      <c r="R15" s="141" t="s">
        <v>3</v>
      </c>
      <c r="S15" s="141" t="s">
        <v>4</v>
      </c>
      <c r="T15" s="141" t="s">
        <v>95</v>
      </c>
      <c r="U15" s="143" t="s">
        <v>6</v>
      </c>
      <c r="V15" s="345" t="s">
        <v>82</v>
      </c>
      <c r="X15" s="324" t="s">
        <v>19</v>
      </c>
      <c r="Y15" s="326">
        <v>95000</v>
      </c>
      <c r="Z15" s="327"/>
      <c r="AA15" s="321" t="s">
        <v>112</v>
      </c>
      <c r="AB15" s="322"/>
      <c r="AC15" s="323"/>
      <c r="AD15" s="321" t="s">
        <v>107</v>
      </c>
      <c r="AE15" s="322"/>
      <c r="AF15" s="323"/>
      <c r="AG15" s="321" t="s">
        <v>108</v>
      </c>
      <c r="AH15" s="322"/>
      <c r="AI15" s="323"/>
      <c r="AJ15" s="275" t="s">
        <v>109</v>
      </c>
      <c r="AK15" s="276"/>
      <c r="AL15" s="277"/>
      <c r="AM15" s="275" t="s">
        <v>110</v>
      </c>
      <c r="AN15" s="276"/>
      <c r="AO15" s="277"/>
    </row>
    <row r="16" spans="2:41" s="3" customFormat="1" ht="15" thickBot="1">
      <c r="B16" s="91"/>
      <c r="C16" s="93" t="s">
        <v>7</v>
      </c>
      <c r="D16" s="95"/>
      <c r="E16" s="97">
        <f>X6</f>
        <v>279</v>
      </c>
      <c r="F16" s="57">
        <f>Y6</f>
        <v>374</v>
      </c>
      <c r="G16" s="57">
        <f>X6</f>
        <v>279</v>
      </c>
      <c r="H16" s="57">
        <f>Y6</f>
        <v>374</v>
      </c>
      <c r="I16" s="57">
        <f>AA6</f>
        <v>385</v>
      </c>
      <c r="J16" s="57">
        <f>AA6</f>
        <v>385</v>
      </c>
      <c r="K16" s="365"/>
      <c r="L16" s="138" t="s">
        <v>0</v>
      </c>
      <c r="M16" s="139">
        <v>0.28399999999999997</v>
      </c>
      <c r="N16" s="142" t="str">
        <f>"Est. $"&amp;overhead_rate</f>
        <v>Est. $80</v>
      </c>
      <c r="O16" s="55" t="s">
        <v>0</v>
      </c>
      <c r="P16" s="138" t="s">
        <v>8</v>
      </c>
      <c r="Q16" s="142" t="s">
        <v>8</v>
      </c>
      <c r="R16" s="142" t="s">
        <v>8</v>
      </c>
      <c r="S16" s="144">
        <v>0.06</v>
      </c>
      <c r="T16" s="142" t="s">
        <v>8</v>
      </c>
      <c r="U16" s="145"/>
      <c r="V16" s="346"/>
      <c r="X16" s="325"/>
      <c r="Y16" s="328"/>
      <c r="Z16" s="329"/>
      <c r="AA16" s="278"/>
      <c r="AB16" s="279"/>
      <c r="AC16" s="280"/>
      <c r="AD16" s="278"/>
      <c r="AE16" s="279"/>
      <c r="AF16" s="280"/>
      <c r="AG16" s="278"/>
      <c r="AH16" s="279"/>
      <c r="AI16" s="280"/>
      <c r="AJ16" s="278"/>
      <c r="AK16" s="279"/>
      <c r="AL16" s="280"/>
      <c r="AM16" s="278"/>
      <c r="AN16" s="279"/>
      <c r="AO16" s="280"/>
    </row>
    <row r="17" spans="2:41" ht="16.95" customHeight="1" thickBot="1">
      <c r="B17" s="98"/>
      <c r="C17" s="99"/>
      <c r="D17" s="147">
        <v>1</v>
      </c>
      <c r="E17" s="104">
        <v>1</v>
      </c>
      <c r="F17" s="105">
        <v>1</v>
      </c>
      <c r="G17" s="105">
        <v>1</v>
      </c>
      <c r="H17" s="105">
        <v>1</v>
      </c>
      <c r="I17" s="105">
        <v>1</v>
      </c>
      <c r="J17" s="105">
        <v>1</v>
      </c>
      <c r="K17" s="106">
        <f>SUM(E17:J17)</f>
        <v>6</v>
      </c>
      <c r="L17" s="113">
        <f>((E17+G17)*D17*E$16)+((F17+H17)*D17*F$16)+((I17+J17)*D17*I$16)</f>
        <v>2076</v>
      </c>
      <c r="M17" s="117">
        <f>ROUND((((E17+G17)*D17*E$16)+((F17+H17)*D17*F$16))*M$16,2)</f>
        <v>370.9</v>
      </c>
      <c r="N17" s="114">
        <f t="shared" ref="N17:N37" si="0">overhead_rate*D17*K17</f>
        <v>480</v>
      </c>
      <c r="O17" s="115">
        <f>L17-M17-N17</f>
        <v>1225.0999999999999</v>
      </c>
      <c r="P17" s="122">
        <v>0</v>
      </c>
      <c r="Q17" s="123">
        <v>0</v>
      </c>
      <c r="R17" s="123">
        <v>0</v>
      </c>
      <c r="S17" s="124">
        <f>ROUND((P17+Q17+R17)*S$16,2)</f>
        <v>0</v>
      </c>
      <c r="T17" s="123">
        <v>0</v>
      </c>
      <c r="U17" s="125">
        <f>SUM(P17:T17)</f>
        <v>0</v>
      </c>
      <c r="V17" s="134">
        <f>O17-U17</f>
        <v>1225.0999999999999</v>
      </c>
      <c r="X17" s="201" t="s">
        <v>31</v>
      </c>
      <c r="Y17" s="202">
        <v>0.5</v>
      </c>
      <c r="Z17" s="202">
        <v>1</v>
      </c>
      <c r="AA17" s="205">
        <v>0.25</v>
      </c>
      <c r="AB17" s="203">
        <v>0.5</v>
      </c>
      <c r="AC17" s="204">
        <v>1</v>
      </c>
      <c r="AD17" s="205">
        <v>0.25</v>
      </c>
      <c r="AE17" s="203">
        <v>0.5</v>
      </c>
      <c r="AF17" s="204">
        <v>1</v>
      </c>
      <c r="AG17" s="205">
        <v>0.25</v>
      </c>
      <c r="AH17" s="203">
        <v>0.5</v>
      </c>
      <c r="AI17" s="204">
        <v>1</v>
      </c>
      <c r="AJ17" s="203">
        <v>0.25</v>
      </c>
      <c r="AK17" s="203">
        <v>0.5</v>
      </c>
      <c r="AL17" s="203">
        <v>1</v>
      </c>
      <c r="AM17" s="205">
        <v>0.25</v>
      </c>
      <c r="AN17" s="203">
        <v>0.5</v>
      </c>
      <c r="AO17" s="204">
        <v>1</v>
      </c>
    </row>
    <row r="18" spans="2:41" ht="15" customHeight="1">
      <c r="B18" s="100"/>
      <c r="C18" s="101"/>
      <c r="D18" s="148">
        <v>0</v>
      </c>
      <c r="E18" s="107">
        <v>1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9">
        <f>SUM(E18:J18)</f>
        <v>1</v>
      </c>
      <c r="L18" s="116">
        <f t="shared" ref="L18:L37" si="1">((E18+G18)*D18*E$16)+((F18+H18)*D18*F$16)+((I18+J18)*D18*I$16)</f>
        <v>0</v>
      </c>
      <c r="M18" s="117">
        <f t="shared" ref="M18:M37" si="2">ROUND((((E18+G18)*D18*E$16)+((F18+H18)*D18*F$16))*M$16,2)</f>
        <v>0</v>
      </c>
      <c r="N18" s="117">
        <f t="shared" si="0"/>
        <v>0</v>
      </c>
      <c r="O18" s="118">
        <f>L18-M18-N18</f>
        <v>0</v>
      </c>
      <c r="P18" s="126">
        <v>0</v>
      </c>
      <c r="Q18" s="127">
        <v>0</v>
      </c>
      <c r="R18" s="127">
        <v>0</v>
      </c>
      <c r="S18" s="128">
        <f>ROUND((P18+Q18+R18)*S$16,2)</f>
        <v>0</v>
      </c>
      <c r="T18" s="127">
        <v>0</v>
      </c>
      <c r="U18" s="129">
        <f>SUM(P18:T18)</f>
        <v>0</v>
      </c>
      <c r="V18" s="135">
        <f>O18-U18</f>
        <v>0</v>
      </c>
      <c r="X18" s="196" t="s">
        <v>20</v>
      </c>
      <c r="Y18" s="230">
        <f>ROUND(Y15*0.085, 2)</f>
        <v>8075</v>
      </c>
      <c r="Z18" s="230">
        <f>Y18*2</f>
        <v>16150</v>
      </c>
      <c r="AA18" s="224">
        <f>AB18/2</f>
        <v>3318</v>
      </c>
      <c r="AB18" s="225">
        <f>AB19</f>
        <v>6636</v>
      </c>
      <c r="AC18" s="226">
        <f>AB18*2</f>
        <v>13272</v>
      </c>
      <c r="AD18" s="224">
        <f>AE18/2</f>
        <v>3418</v>
      </c>
      <c r="AE18" s="225">
        <f>AE19</f>
        <v>6836</v>
      </c>
      <c r="AF18" s="226">
        <f>AE18*2</f>
        <v>13672</v>
      </c>
      <c r="AG18" s="224">
        <f>AH18/2</f>
        <v>3520</v>
      </c>
      <c r="AH18" s="225">
        <f>AH19</f>
        <v>7040</v>
      </c>
      <c r="AI18" s="226">
        <f>AH18*2</f>
        <v>14080</v>
      </c>
      <c r="AJ18" s="225">
        <f>AK18/2</f>
        <v>3799</v>
      </c>
      <c r="AK18" s="225">
        <f>AK19</f>
        <v>7598</v>
      </c>
      <c r="AL18" s="225">
        <f>AK18*2</f>
        <v>15196</v>
      </c>
      <c r="AM18" s="224">
        <f>AN18/2</f>
        <v>3938</v>
      </c>
      <c r="AN18" s="225">
        <f>AN19</f>
        <v>7876</v>
      </c>
      <c r="AO18" s="226">
        <f>AN18*2</f>
        <v>15752</v>
      </c>
    </row>
    <row r="19" spans="2:41" ht="14.4">
      <c r="B19" s="100"/>
      <c r="C19" s="101"/>
      <c r="D19" s="148">
        <v>0</v>
      </c>
      <c r="E19" s="107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9">
        <f t="shared" ref="K19:K37" si="3">SUM(E19:J19)</f>
        <v>0</v>
      </c>
      <c r="L19" s="116">
        <f t="shared" si="1"/>
        <v>0</v>
      </c>
      <c r="M19" s="117">
        <f t="shared" si="2"/>
        <v>0</v>
      </c>
      <c r="N19" s="117">
        <f t="shared" si="0"/>
        <v>0</v>
      </c>
      <c r="O19" s="118">
        <f t="shared" ref="O19:O37" si="4">L19-M19-N19</f>
        <v>0</v>
      </c>
      <c r="P19" s="126">
        <v>0</v>
      </c>
      <c r="Q19" s="127">
        <v>0</v>
      </c>
      <c r="R19" s="127">
        <v>0</v>
      </c>
      <c r="S19" s="128">
        <f t="shared" ref="S19:S37" si="5">ROUND((P19+Q19+R19)*S$16,2)</f>
        <v>0</v>
      </c>
      <c r="T19" s="127">
        <v>0</v>
      </c>
      <c r="U19" s="129">
        <f t="shared" ref="U19:U37" si="6">SUM(P19:T19)</f>
        <v>0</v>
      </c>
      <c r="V19" s="135">
        <f t="shared" ref="V19:V37" si="7">O19-U19</f>
        <v>0</v>
      </c>
      <c r="X19" s="196" t="s">
        <v>21</v>
      </c>
      <c r="Y19" s="230">
        <f>ROUND(Y15*0.085,2)</f>
        <v>8075</v>
      </c>
      <c r="Z19" s="230">
        <f>Y19*2</f>
        <v>16150</v>
      </c>
      <c r="AA19" s="224">
        <f>AB19/2</f>
        <v>3318</v>
      </c>
      <c r="AB19" s="225">
        <v>6636</v>
      </c>
      <c r="AC19" s="226">
        <f>AB19*2</f>
        <v>13272</v>
      </c>
      <c r="AD19" s="224">
        <f>AE19/2</f>
        <v>3418</v>
      </c>
      <c r="AE19" s="225">
        <v>6836</v>
      </c>
      <c r="AF19" s="226">
        <f>AE19*2</f>
        <v>13672</v>
      </c>
      <c r="AG19" s="224">
        <f>AH19/2</f>
        <v>3520</v>
      </c>
      <c r="AH19" s="225">
        <v>7040</v>
      </c>
      <c r="AI19" s="226">
        <f>AH19*2</f>
        <v>14080</v>
      </c>
      <c r="AJ19" s="225">
        <f>AK19/2</f>
        <v>3799</v>
      </c>
      <c r="AK19" s="225">
        <v>7598</v>
      </c>
      <c r="AL19" s="225">
        <f>AK19*2</f>
        <v>15196</v>
      </c>
      <c r="AM19" s="224">
        <f>AN19/2</f>
        <v>3938</v>
      </c>
      <c r="AN19" s="225">
        <v>7876</v>
      </c>
      <c r="AO19" s="226">
        <f>AN19*2</f>
        <v>15752</v>
      </c>
    </row>
    <row r="20" spans="2:41" ht="14.4">
      <c r="B20" s="100"/>
      <c r="C20" s="101"/>
      <c r="D20" s="148">
        <v>0</v>
      </c>
      <c r="E20" s="107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9">
        <f t="shared" si="3"/>
        <v>0</v>
      </c>
      <c r="L20" s="116">
        <f t="shared" si="1"/>
        <v>0</v>
      </c>
      <c r="M20" s="117">
        <f t="shared" si="2"/>
        <v>0</v>
      </c>
      <c r="N20" s="117">
        <f t="shared" si="0"/>
        <v>0</v>
      </c>
      <c r="O20" s="118">
        <f t="shared" si="4"/>
        <v>0</v>
      </c>
      <c r="P20" s="126">
        <v>0</v>
      </c>
      <c r="Q20" s="127">
        <v>0</v>
      </c>
      <c r="R20" s="127">
        <v>0</v>
      </c>
      <c r="S20" s="128">
        <f t="shared" si="5"/>
        <v>0</v>
      </c>
      <c r="T20" s="127">
        <v>0</v>
      </c>
      <c r="U20" s="129">
        <f t="shared" si="6"/>
        <v>0</v>
      </c>
      <c r="V20" s="135">
        <f t="shared" si="7"/>
        <v>0</v>
      </c>
      <c r="X20" s="196" t="s">
        <v>22</v>
      </c>
      <c r="Y20" s="230">
        <f>ROUND(Y15*0.11,2)</f>
        <v>10450</v>
      </c>
      <c r="Z20" s="230">
        <f>Y20*2</f>
        <v>20900</v>
      </c>
      <c r="AA20" s="224">
        <f>AB20/2</f>
        <v>4424</v>
      </c>
      <c r="AB20" s="225">
        <v>8848</v>
      </c>
      <c r="AC20" s="226">
        <f>AB20*2</f>
        <v>17696</v>
      </c>
      <c r="AD20" s="224">
        <f>AE20/2</f>
        <v>4557</v>
      </c>
      <c r="AE20" s="225">
        <v>9114</v>
      </c>
      <c r="AF20" s="226">
        <f>AE20*2</f>
        <v>18228</v>
      </c>
      <c r="AG20" s="224">
        <f>AH20/2</f>
        <v>4694</v>
      </c>
      <c r="AH20" s="225">
        <v>9388</v>
      </c>
      <c r="AI20" s="226">
        <f>AH20*2</f>
        <v>18776</v>
      </c>
      <c r="AJ20" s="225">
        <f>AK20/2</f>
        <v>5065</v>
      </c>
      <c r="AK20" s="225">
        <v>10130</v>
      </c>
      <c r="AL20" s="225">
        <f>AK20*2</f>
        <v>20260</v>
      </c>
      <c r="AM20" s="224">
        <f>AN20/2</f>
        <v>5251</v>
      </c>
      <c r="AN20" s="225">
        <v>10502</v>
      </c>
      <c r="AO20" s="226">
        <f>AN20*2</f>
        <v>21004</v>
      </c>
    </row>
    <row r="21" spans="2:41" ht="14.4">
      <c r="B21" s="100"/>
      <c r="C21" s="101"/>
      <c r="D21" s="148">
        <v>0</v>
      </c>
      <c r="E21" s="107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9">
        <f t="shared" si="3"/>
        <v>0</v>
      </c>
      <c r="L21" s="116">
        <f t="shared" si="1"/>
        <v>0</v>
      </c>
      <c r="M21" s="117">
        <f t="shared" si="2"/>
        <v>0</v>
      </c>
      <c r="N21" s="117">
        <f t="shared" si="0"/>
        <v>0</v>
      </c>
      <c r="O21" s="118">
        <f t="shared" si="4"/>
        <v>0</v>
      </c>
      <c r="P21" s="126">
        <v>0</v>
      </c>
      <c r="Q21" s="127">
        <v>0</v>
      </c>
      <c r="R21" s="127">
        <v>0</v>
      </c>
      <c r="S21" s="128">
        <f t="shared" si="5"/>
        <v>0</v>
      </c>
      <c r="T21" s="127">
        <v>0</v>
      </c>
      <c r="U21" s="129">
        <f t="shared" si="6"/>
        <v>0</v>
      </c>
      <c r="V21" s="135">
        <f t="shared" si="7"/>
        <v>0</v>
      </c>
      <c r="X21" s="196" t="s">
        <v>23</v>
      </c>
      <c r="Y21" s="230">
        <f>ROUND(Y15*0.125,2)</f>
        <v>11875</v>
      </c>
      <c r="Z21" s="230">
        <f>Y21*2</f>
        <v>23750</v>
      </c>
      <c r="AA21" s="224">
        <f>AB21/2</f>
        <v>4977</v>
      </c>
      <c r="AB21" s="225">
        <v>9954</v>
      </c>
      <c r="AC21" s="226">
        <f>AB21*2</f>
        <v>19908</v>
      </c>
      <c r="AD21" s="224">
        <f>AE21/2</f>
        <v>5127</v>
      </c>
      <c r="AE21" s="225">
        <v>10254</v>
      </c>
      <c r="AF21" s="226">
        <f>AE21*2</f>
        <v>20508</v>
      </c>
      <c r="AG21" s="224">
        <f>AH21/2</f>
        <v>5280</v>
      </c>
      <c r="AH21" s="225">
        <v>10560</v>
      </c>
      <c r="AI21" s="226">
        <f>AH21*2</f>
        <v>21120</v>
      </c>
      <c r="AJ21" s="225">
        <f>AK21/2</f>
        <v>5698.5</v>
      </c>
      <c r="AK21" s="225">
        <v>11397</v>
      </c>
      <c r="AL21" s="225">
        <f>AK21*2</f>
        <v>22794</v>
      </c>
      <c r="AM21" s="224">
        <f>AN21/2</f>
        <v>5907</v>
      </c>
      <c r="AN21" s="225">
        <v>11814</v>
      </c>
      <c r="AO21" s="226">
        <f>AN21*2</f>
        <v>23628</v>
      </c>
    </row>
    <row r="22" spans="2:41" ht="15" thickBot="1">
      <c r="B22" s="100"/>
      <c r="C22" s="101"/>
      <c r="D22" s="148">
        <v>0</v>
      </c>
      <c r="E22" s="107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9">
        <f t="shared" si="3"/>
        <v>0</v>
      </c>
      <c r="L22" s="116">
        <f t="shared" si="1"/>
        <v>0</v>
      </c>
      <c r="M22" s="117">
        <f t="shared" si="2"/>
        <v>0</v>
      </c>
      <c r="N22" s="117">
        <f t="shared" si="0"/>
        <v>0</v>
      </c>
      <c r="O22" s="118">
        <f t="shared" si="4"/>
        <v>0</v>
      </c>
      <c r="P22" s="126">
        <v>0</v>
      </c>
      <c r="Q22" s="127">
        <v>0</v>
      </c>
      <c r="R22" s="127">
        <v>0</v>
      </c>
      <c r="S22" s="128">
        <f t="shared" si="5"/>
        <v>0</v>
      </c>
      <c r="T22" s="127">
        <v>0</v>
      </c>
      <c r="U22" s="129">
        <f t="shared" si="6"/>
        <v>0</v>
      </c>
      <c r="V22" s="135">
        <f t="shared" si="7"/>
        <v>0</v>
      </c>
      <c r="X22" s="197" t="s">
        <v>24</v>
      </c>
      <c r="Y22" s="231">
        <f>ROUND(Y15*0.14,2)</f>
        <v>13300</v>
      </c>
      <c r="Z22" s="231">
        <f>Y22*2</f>
        <v>26600</v>
      </c>
      <c r="AA22" s="227">
        <f>AB22/2</f>
        <v>5530.5</v>
      </c>
      <c r="AB22" s="228">
        <v>11061</v>
      </c>
      <c r="AC22" s="229">
        <f>AB22*2</f>
        <v>22122</v>
      </c>
      <c r="AD22" s="227">
        <f>AE22/2</f>
        <v>5695.5</v>
      </c>
      <c r="AE22" s="228">
        <v>11391</v>
      </c>
      <c r="AF22" s="229">
        <f>AE22*2</f>
        <v>22782</v>
      </c>
      <c r="AG22" s="227">
        <f>AH22/2</f>
        <v>5866.5</v>
      </c>
      <c r="AH22" s="228">
        <v>11733</v>
      </c>
      <c r="AI22" s="229">
        <f>AH22*2</f>
        <v>23466</v>
      </c>
      <c r="AJ22" s="228">
        <f>AK22/2</f>
        <v>6331.5</v>
      </c>
      <c r="AK22" s="228">
        <v>12663</v>
      </c>
      <c r="AL22" s="228">
        <f>AK22*2</f>
        <v>25326</v>
      </c>
      <c r="AM22" s="227">
        <f>AN22/2</f>
        <v>6564</v>
      </c>
      <c r="AN22" s="228">
        <v>13128</v>
      </c>
      <c r="AO22" s="229">
        <f>AN22*2</f>
        <v>26256</v>
      </c>
    </row>
    <row r="23" spans="2:41" ht="14.4">
      <c r="B23" s="100"/>
      <c r="C23" s="101"/>
      <c r="D23" s="148">
        <v>0</v>
      </c>
      <c r="E23" s="107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9">
        <f t="shared" si="3"/>
        <v>0</v>
      </c>
      <c r="L23" s="116">
        <f t="shared" si="1"/>
        <v>0</v>
      </c>
      <c r="M23" s="117">
        <f t="shared" si="2"/>
        <v>0</v>
      </c>
      <c r="N23" s="117">
        <f t="shared" si="0"/>
        <v>0</v>
      </c>
      <c r="O23" s="118">
        <f t="shared" si="4"/>
        <v>0</v>
      </c>
      <c r="P23" s="126">
        <v>0</v>
      </c>
      <c r="Q23" s="127">
        <v>0</v>
      </c>
      <c r="R23" s="127">
        <v>0</v>
      </c>
      <c r="S23" s="128">
        <f t="shared" si="5"/>
        <v>0</v>
      </c>
      <c r="T23" s="127">
        <v>0</v>
      </c>
      <c r="U23" s="129">
        <f t="shared" si="6"/>
        <v>0</v>
      </c>
      <c r="V23" s="135">
        <f t="shared" si="7"/>
        <v>0</v>
      </c>
      <c r="AB23" s="59" t="s">
        <v>80</v>
      </c>
    </row>
    <row r="24" spans="2:41" ht="14.4">
      <c r="B24" s="100"/>
      <c r="C24" s="101"/>
      <c r="D24" s="148">
        <v>0</v>
      </c>
      <c r="E24" s="107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9">
        <f t="shared" si="3"/>
        <v>0</v>
      </c>
      <c r="L24" s="116">
        <f t="shared" si="1"/>
        <v>0</v>
      </c>
      <c r="M24" s="117">
        <f t="shared" si="2"/>
        <v>0</v>
      </c>
      <c r="N24" s="117">
        <f t="shared" si="0"/>
        <v>0</v>
      </c>
      <c r="O24" s="118">
        <f t="shared" si="4"/>
        <v>0</v>
      </c>
      <c r="P24" s="126">
        <v>0</v>
      </c>
      <c r="Q24" s="127">
        <v>0</v>
      </c>
      <c r="R24" s="127">
        <v>0</v>
      </c>
      <c r="S24" s="128">
        <f t="shared" si="5"/>
        <v>0</v>
      </c>
      <c r="T24" s="127">
        <v>0</v>
      </c>
      <c r="U24" s="129">
        <f t="shared" si="6"/>
        <v>0</v>
      </c>
      <c r="V24" s="135">
        <f t="shared" si="7"/>
        <v>0</v>
      </c>
      <c r="X24" s="14" t="s">
        <v>84</v>
      </c>
    </row>
    <row r="25" spans="2:41" ht="14.4">
      <c r="B25" s="100"/>
      <c r="C25" s="101"/>
      <c r="D25" s="148">
        <v>0</v>
      </c>
      <c r="E25" s="107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9">
        <f t="shared" si="3"/>
        <v>0</v>
      </c>
      <c r="L25" s="116">
        <f t="shared" si="1"/>
        <v>0</v>
      </c>
      <c r="M25" s="117">
        <f t="shared" si="2"/>
        <v>0</v>
      </c>
      <c r="N25" s="117">
        <f t="shared" si="0"/>
        <v>0</v>
      </c>
      <c r="O25" s="118">
        <f t="shared" si="4"/>
        <v>0</v>
      </c>
      <c r="P25" s="126">
        <v>0</v>
      </c>
      <c r="Q25" s="127">
        <v>0</v>
      </c>
      <c r="R25" s="127">
        <v>0</v>
      </c>
      <c r="S25" s="128">
        <f t="shared" si="5"/>
        <v>0</v>
      </c>
      <c r="T25" s="127">
        <v>0</v>
      </c>
      <c r="U25" s="129">
        <f t="shared" si="6"/>
        <v>0</v>
      </c>
      <c r="V25" s="135">
        <f t="shared" si="7"/>
        <v>0</v>
      </c>
      <c r="X25" s="146" t="s">
        <v>83</v>
      </c>
      <c r="AA25" s="89"/>
      <c r="AB25" s="89"/>
      <c r="AC25" s="89"/>
      <c r="AD25" s="89"/>
    </row>
    <row r="26" spans="2:41" ht="14.4">
      <c r="B26" s="100"/>
      <c r="C26" s="101"/>
      <c r="D26" s="148">
        <v>0</v>
      </c>
      <c r="E26" s="107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9">
        <f t="shared" si="3"/>
        <v>0</v>
      </c>
      <c r="L26" s="116">
        <f t="shared" si="1"/>
        <v>0</v>
      </c>
      <c r="M26" s="117">
        <f t="shared" si="2"/>
        <v>0</v>
      </c>
      <c r="N26" s="117">
        <f t="shared" si="0"/>
        <v>0</v>
      </c>
      <c r="O26" s="118">
        <f t="shared" si="4"/>
        <v>0</v>
      </c>
      <c r="P26" s="126">
        <v>0</v>
      </c>
      <c r="Q26" s="127">
        <v>0</v>
      </c>
      <c r="R26" s="127">
        <v>0</v>
      </c>
      <c r="S26" s="128">
        <f t="shared" si="5"/>
        <v>0</v>
      </c>
      <c r="T26" s="127">
        <v>0</v>
      </c>
      <c r="U26" s="129">
        <f t="shared" si="6"/>
        <v>0</v>
      </c>
      <c r="V26" s="135">
        <f t="shared" si="7"/>
        <v>0</v>
      </c>
      <c r="X26" s="38" t="s">
        <v>111</v>
      </c>
    </row>
    <row r="27" spans="2:41" ht="14.4">
      <c r="B27" s="100"/>
      <c r="C27" s="101"/>
      <c r="D27" s="148">
        <v>0</v>
      </c>
      <c r="E27" s="107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9">
        <f t="shared" si="3"/>
        <v>0</v>
      </c>
      <c r="L27" s="116">
        <f t="shared" si="1"/>
        <v>0</v>
      </c>
      <c r="M27" s="117">
        <f t="shared" si="2"/>
        <v>0</v>
      </c>
      <c r="N27" s="117">
        <f t="shared" si="0"/>
        <v>0</v>
      </c>
      <c r="O27" s="118">
        <f t="shared" si="4"/>
        <v>0</v>
      </c>
      <c r="P27" s="126">
        <v>0</v>
      </c>
      <c r="Q27" s="127">
        <v>0</v>
      </c>
      <c r="R27" s="127">
        <v>0</v>
      </c>
      <c r="S27" s="128">
        <f t="shared" si="5"/>
        <v>0</v>
      </c>
      <c r="T27" s="127">
        <v>0</v>
      </c>
      <c r="U27" s="129">
        <f t="shared" si="6"/>
        <v>0</v>
      </c>
      <c r="V27" s="135">
        <f t="shared" si="7"/>
        <v>0</v>
      </c>
    </row>
    <row r="28" spans="2:41" ht="14.4">
      <c r="B28" s="100"/>
      <c r="C28" s="101"/>
      <c r="D28" s="148">
        <v>0</v>
      </c>
      <c r="E28" s="107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9">
        <f t="shared" si="3"/>
        <v>0</v>
      </c>
      <c r="L28" s="116">
        <f t="shared" si="1"/>
        <v>0</v>
      </c>
      <c r="M28" s="117">
        <f t="shared" si="2"/>
        <v>0</v>
      </c>
      <c r="N28" s="117">
        <f t="shared" si="0"/>
        <v>0</v>
      </c>
      <c r="O28" s="118">
        <f t="shared" si="4"/>
        <v>0</v>
      </c>
      <c r="P28" s="126">
        <v>0</v>
      </c>
      <c r="Q28" s="127">
        <v>0</v>
      </c>
      <c r="R28" s="127">
        <v>0</v>
      </c>
      <c r="S28" s="128">
        <f t="shared" si="5"/>
        <v>0</v>
      </c>
      <c r="T28" s="127">
        <v>0</v>
      </c>
      <c r="U28" s="129">
        <f t="shared" si="6"/>
        <v>0</v>
      </c>
      <c r="V28" s="135">
        <f t="shared" si="7"/>
        <v>0</v>
      </c>
    </row>
    <row r="29" spans="2:41" ht="14.4">
      <c r="B29" s="100"/>
      <c r="C29" s="101"/>
      <c r="D29" s="148">
        <v>0</v>
      </c>
      <c r="E29" s="107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9">
        <f t="shared" si="3"/>
        <v>0</v>
      </c>
      <c r="L29" s="116">
        <f t="shared" si="1"/>
        <v>0</v>
      </c>
      <c r="M29" s="117">
        <f t="shared" si="2"/>
        <v>0</v>
      </c>
      <c r="N29" s="117">
        <f t="shared" si="0"/>
        <v>0</v>
      </c>
      <c r="O29" s="118">
        <f t="shared" si="4"/>
        <v>0</v>
      </c>
      <c r="P29" s="126">
        <v>0</v>
      </c>
      <c r="Q29" s="127">
        <v>0</v>
      </c>
      <c r="R29" s="127">
        <v>0</v>
      </c>
      <c r="S29" s="128">
        <f t="shared" si="5"/>
        <v>0</v>
      </c>
      <c r="T29" s="127">
        <v>0</v>
      </c>
      <c r="U29" s="129">
        <f t="shared" si="6"/>
        <v>0</v>
      </c>
      <c r="V29" s="135">
        <f t="shared" si="7"/>
        <v>0</v>
      </c>
    </row>
    <row r="30" spans="2:41" ht="14.4">
      <c r="B30" s="100"/>
      <c r="C30" s="101"/>
      <c r="D30" s="148">
        <v>0</v>
      </c>
      <c r="E30" s="107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9">
        <f t="shared" si="3"/>
        <v>0</v>
      </c>
      <c r="L30" s="116">
        <f t="shared" si="1"/>
        <v>0</v>
      </c>
      <c r="M30" s="117">
        <f t="shared" si="2"/>
        <v>0</v>
      </c>
      <c r="N30" s="117">
        <f t="shared" si="0"/>
        <v>0</v>
      </c>
      <c r="O30" s="118">
        <f t="shared" si="4"/>
        <v>0</v>
      </c>
      <c r="P30" s="126">
        <v>0</v>
      </c>
      <c r="Q30" s="127">
        <v>0</v>
      </c>
      <c r="R30" s="127">
        <v>0</v>
      </c>
      <c r="S30" s="128">
        <f t="shared" si="5"/>
        <v>0</v>
      </c>
      <c r="T30" s="127">
        <v>0</v>
      </c>
      <c r="U30" s="129">
        <f t="shared" si="6"/>
        <v>0</v>
      </c>
      <c r="V30" s="135">
        <f t="shared" si="7"/>
        <v>0</v>
      </c>
    </row>
    <row r="31" spans="2:41" ht="14.4">
      <c r="B31" s="100"/>
      <c r="C31" s="101"/>
      <c r="D31" s="148">
        <v>0</v>
      </c>
      <c r="E31" s="107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9">
        <f t="shared" si="3"/>
        <v>0</v>
      </c>
      <c r="L31" s="116">
        <f t="shared" si="1"/>
        <v>0</v>
      </c>
      <c r="M31" s="117">
        <f t="shared" si="2"/>
        <v>0</v>
      </c>
      <c r="N31" s="117">
        <f t="shared" si="0"/>
        <v>0</v>
      </c>
      <c r="O31" s="118">
        <f t="shared" si="4"/>
        <v>0</v>
      </c>
      <c r="P31" s="126">
        <v>0</v>
      </c>
      <c r="Q31" s="127">
        <v>0</v>
      </c>
      <c r="R31" s="127">
        <v>0</v>
      </c>
      <c r="S31" s="128">
        <f t="shared" si="5"/>
        <v>0</v>
      </c>
      <c r="T31" s="127">
        <v>0</v>
      </c>
      <c r="U31" s="129">
        <f t="shared" si="6"/>
        <v>0</v>
      </c>
      <c r="V31" s="135">
        <f t="shared" si="7"/>
        <v>0</v>
      </c>
    </row>
    <row r="32" spans="2:41" ht="14.4">
      <c r="B32" s="100"/>
      <c r="C32" s="101"/>
      <c r="D32" s="148">
        <v>0</v>
      </c>
      <c r="E32" s="107">
        <v>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09">
        <f t="shared" si="3"/>
        <v>0</v>
      </c>
      <c r="L32" s="116">
        <f t="shared" si="1"/>
        <v>0</v>
      </c>
      <c r="M32" s="117">
        <f t="shared" si="2"/>
        <v>0</v>
      </c>
      <c r="N32" s="117">
        <f t="shared" si="0"/>
        <v>0</v>
      </c>
      <c r="O32" s="118">
        <f t="shared" si="4"/>
        <v>0</v>
      </c>
      <c r="P32" s="126">
        <v>0</v>
      </c>
      <c r="Q32" s="127">
        <v>0</v>
      </c>
      <c r="R32" s="127">
        <v>0</v>
      </c>
      <c r="S32" s="128">
        <f t="shared" si="5"/>
        <v>0</v>
      </c>
      <c r="T32" s="127">
        <v>0</v>
      </c>
      <c r="U32" s="129">
        <f t="shared" si="6"/>
        <v>0</v>
      </c>
      <c r="V32" s="135">
        <f t="shared" si="7"/>
        <v>0</v>
      </c>
    </row>
    <row r="33" spans="2:22" ht="14.4">
      <c r="B33" s="100"/>
      <c r="C33" s="101"/>
      <c r="D33" s="148">
        <v>0</v>
      </c>
      <c r="E33" s="107">
        <v>0</v>
      </c>
      <c r="F33" s="108">
        <v>0</v>
      </c>
      <c r="G33" s="108">
        <v>0</v>
      </c>
      <c r="H33" s="108">
        <v>0</v>
      </c>
      <c r="I33" s="108">
        <v>0</v>
      </c>
      <c r="J33" s="108">
        <v>0</v>
      </c>
      <c r="K33" s="109">
        <f t="shared" si="3"/>
        <v>0</v>
      </c>
      <c r="L33" s="116">
        <f t="shared" si="1"/>
        <v>0</v>
      </c>
      <c r="M33" s="117">
        <f t="shared" si="2"/>
        <v>0</v>
      </c>
      <c r="N33" s="117">
        <f t="shared" si="0"/>
        <v>0</v>
      </c>
      <c r="O33" s="118">
        <f t="shared" si="4"/>
        <v>0</v>
      </c>
      <c r="P33" s="126">
        <v>0</v>
      </c>
      <c r="Q33" s="127">
        <v>0</v>
      </c>
      <c r="R33" s="127">
        <v>0</v>
      </c>
      <c r="S33" s="128">
        <f t="shared" si="5"/>
        <v>0</v>
      </c>
      <c r="T33" s="127">
        <v>0</v>
      </c>
      <c r="U33" s="129">
        <f t="shared" si="6"/>
        <v>0</v>
      </c>
      <c r="V33" s="135">
        <f t="shared" si="7"/>
        <v>0</v>
      </c>
    </row>
    <row r="34" spans="2:22" ht="14.4">
      <c r="B34" s="100"/>
      <c r="C34" s="101"/>
      <c r="D34" s="148">
        <v>0</v>
      </c>
      <c r="E34" s="107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09">
        <f t="shared" si="3"/>
        <v>0</v>
      </c>
      <c r="L34" s="116">
        <f t="shared" si="1"/>
        <v>0</v>
      </c>
      <c r="M34" s="117">
        <f t="shared" si="2"/>
        <v>0</v>
      </c>
      <c r="N34" s="117">
        <f t="shared" si="0"/>
        <v>0</v>
      </c>
      <c r="O34" s="118">
        <f t="shared" si="4"/>
        <v>0</v>
      </c>
      <c r="P34" s="126">
        <v>0</v>
      </c>
      <c r="Q34" s="127">
        <v>0</v>
      </c>
      <c r="R34" s="127">
        <v>0</v>
      </c>
      <c r="S34" s="128">
        <f t="shared" si="5"/>
        <v>0</v>
      </c>
      <c r="T34" s="127">
        <v>0</v>
      </c>
      <c r="U34" s="129">
        <f t="shared" si="6"/>
        <v>0</v>
      </c>
      <c r="V34" s="135">
        <f t="shared" si="7"/>
        <v>0</v>
      </c>
    </row>
    <row r="35" spans="2:22" ht="14.4">
      <c r="B35" s="100"/>
      <c r="C35" s="101"/>
      <c r="D35" s="148">
        <v>0</v>
      </c>
      <c r="E35" s="107">
        <v>0</v>
      </c>
      <c r="F35" s="108">
        <v>0</v>
      </c>
      <c r="G35" s="108">
        <v>0</v>
      </c>
      <c r="H35" s="108">
        <v>0</v>
      </c>
      <c r="I35" s="108">
        <v>0</v>
      </c>
      <c r="J35" s="108">
        <v>0</v>
      </c>
      <c r="K35" s="109">
        <f t="shared" si="3"/>
        <v>0</v>
      </c>
      <c r="L35" s="116">
        <f t="shared" si="1"/>
        <v>0</v>
      </c>
      <c r="M35" s="117">
        <f t="shared" si="2"/>
        <v>0</v>
      </c>
      <c r="N35" s="117">
        <f t="shared" si="0"/>
        <v>0</v>
      </c>
      <c r="O35" s="118">
        <f t="shared" si="4"/>
        <v>0</v>
      </c>
      <c r="P35" s="126">
        <v>0</v>
      </c>
      <c r="Q35" s="127">
        <v>0</v>
      </c>
      <c r="R35" s="127">
        <v>0</v>
      </c>
      <c r="S35" s="128">
        <f t="shared" si="5"/>
        <v>0</v>
      </c>
      <c r="T35" s="127">
        <v>0</v>
      </c>
      <c r="U35" s="129">
        <f t="shared" si="6"/>
        <v>0</v>
      </c>
      <c r="V35" s="135">
        <f t="shared" si="7"/>
        <v>0</v>
      </c>
    </row>
    <row r="36" spans="2:22" ht="14.4">
      <c r="B36" s="100"/>
      <c r="C36" s="101"/>
      <c r="D36" s="148">
        <v>0</v>
      </c>
      <c r="E36" s="107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9">
        <f t="shared" si="3"/>
        <v>0</v>
      </c>
      <c r="L36" s="116">
        <f t="shared" si="1"/>
        <v>0</v>
      </c>
      <c r="M36" s="117">
        <f t="shared" si="2"/>
        <v>0</v>
      </c>
      <c r="N36" s="117">
        <f t="shared" si="0"/>
        <v>0</v>
      </c>
      <c r="O36" s="118">
        <f t="shared" si="4"/>
        <v>0</v>
      </c>
      <c r="P36" s="126">
        <v>0</v>
      </c>
      <c r="Q36" s="127">
        <v>0</v>
      </c>
      <c r="R36" s="127">
        <v>0</v>
      </c>
      <c r="S36" s="128">
        <f t="shared" si="5"/>
        <v>0</v>
      </c>
      <c r="T36" s="127">
        <v>0</v>
      </c>
      <c r="U36" s="129">
        <f t="shared" si="6"/>
        <v>0</v>
      </c>
      <c r="V36" s="135">
        <f t="shared" si="7"/>
        <v>0</v>
      </c>
    </row>
    <row r="37" spans="2:22" ht="15" thickBot="1">
      <c r="B37" s="102"/>
      <c r="C37" s="103"/>
      <c r="D37" s="149">
        <v>0</v>
      </c>
      <c r="E37" s="110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2">
        <f t="shared" si="3"/>
        <v>0</v>
      </c>
      <c r="L37" s="119">
        <f t="shared" si="1"/>
        <v>0</v>
      </c>
      <c r="M37" s="120">
        <f t="shared" si="2"/>
        <v>0</v>
      </c>
      <c r="N37" s="120">
        <f t="shared" si="0"/>
        <v>0</v>
      </c>
      <c r="O37" s="121">
        <f t="shared" si="4"/>
        <v>0</v>
      </c>
      <c r="P37" s="130">
        <v>0</v>
      </c>
      <c r="Q37" s="131">
        <v>0</v>
      </c>
      <c r="R37" s="131">
        <v>0</v>
      </c>
      <c r="S37" s="132">
        <f t="shared" si="5"/>
        <v>0</v>
      </c>
      <c r="T37" s="131">
        <v>0</v>
      </c>
      <c r="U37" s="133">
        <f t="shared" si="6"/>
        <v>0</v>
      </c>
      <c r="V37" s="136">
        <f t="shared" si="7"/>
        <v>0</v>
      </c>
    </row>
    <row r="38" spans="2:22" ht="15" thickBot="1">
      <c r="B38" s="342" t="s">
        <v>9</v>
      </c>
      <c r="C38" s="343"/>
      <c r="D38" s="344"/>
      <c r="E38" s="253">
        <f t="shared" ref="E38:V38" si="8">SUM(E17:E37)</f>
        <v>2</v>
      </c>
      <c r="F38" s="254">
        <f t="shared" si="8"/>
        <v>1</v>
      </c>
      <c r="G38" s="254">
        <f t="shared" si="8"/>
        <v>1</v>
      </c>
      <c r="H38" s="254">
        <f t="shared" si="8"/>
        <v>1</v>
      </c>
      <c r="I38" s="254">
        <f t="shared" si="8"/>
        <v>1</v>
      </c>
      <c r="J38" s="255">
        <f t="shared" si="8"/>
        <v>1</v>
      </c>
      <c r="K38" s="256">
        <f t="shared" si="8"/>
        <v>7</v>
      </c>
      <c r="L38" s="257">
        <f t="shared" si="8"/>
        <v>2076</v>
      </c>
      <c r="M38" s="258">
        <f t="shared" si="8"/>
        <v>370.9</v>
      </c>
      <c r="N38" s="259">
        <f t="shared" si="8"/>
        <v>480</v>
      </c>
      <c r="O38" s="260">
        <f t="shared" si="8"/>
        <v>1225.0999999999999</v>
      </c>
      <c r="P38" s="253">
        <f t="shared" si="8"/>
        <v>0</v>
      </c>
      <c r="Q38" s="254">
        <f t="shared" si="8"/>
        <v>0</v>
      </c>
      <c r="R38" s="254">
        <f t="shared" si="8"/>
        <v>0</v>
      </c>
      <c r="S38" s="254">
        <f t="shared" si="8"/>
        <v>0</v>
      </c>
      <c r="T38" s="254">
        <f t="shared" si="8"/>
        <v>0</v>
      </c>
      <c r="U38" s="261">
        <f t="shared" si="8"/>
        <v>0</v>
      </c>
      <c r="V38" s="262">
        <f t="shared" si="8"/>
        <v>1225.0999999999999</v>
      </c>
    </row>
    <row r="39" spans="2:22">
      <c r="C39" s="5"/>
      <c r="D39" s="4"/>
      <c r="L39" s="6"/>
      <c r="N39" s="6"/>
      <c r="O39" s="15"/>
      <c r="P39" s="15"/>
      <c r="Q39" s="15"/>
      <c r="R39" s="15"/>
      <c r="S39" s="15"/>
      <c r="T39" s="15"/>
      <c r="U39" s="15"/>
    </row>
    <row r="40" spans="2:22">
      <c r="B40" s="153" t="s">
        <v>42</v>
      </c>
      <c r="C40" s="154"/>
      <c r="D40" s="154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6"/>
      <c r="P40" s="156"/>
      <c r="Q40" s="156"/>
      <c r="R40" s="156"/>
      <c r="S40" s="156"/>
      <c r="T40" s="156"/>
      <c r="U40" s="156"/>
      <c r="V40" s="156"/>
    </row>
    <row r="41" spans="2:22">
      <c r="B41" s="157" t="s">
        <v>96</v>
      </c>
      <c r="C41" s="157"/>
      <c r="D41" s="157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6"/>
      <c r="P41" s="156"/>
      <c r="Q41" s="156"/>
      <c r="R41" s="156"/>
      <c r="S41" s="156"/>
      <c r="T41" s="156"/>
      <c r="U41" s="156"/>
      <c r="V41" s="156"/>
    </row>
    <row r="42" spans="2:22">
      <c r="B42" s="157" t="s">
        <v>43</v>
      </c>
      <c r="C42" s="157"/>
      <c r="D42" s="157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6"/>
      <c r="P42" s="156"/>
      <c r="Q42" s="156"/>
      <c r="R42" s="156"/>
      <c r="S42" s="156"/>
      <c r="T42" s="156"/>
      <c r="U42" s="156"/>
      <c r="V42" s="156"/>
    </row>
  </sheetData>
  <mergeCells count="25">
    <mergeCell ref="B2:V2"/>
    <mergeCell ref="B1:V1"/>
    <mergeCell ref="B13:D14"/>
    <mergeCell ref="K15:K16"/>
    <mergeCell ref="E13:K14"/>
    <mergeCell ref="B4:V4"/>
    <mergeCell ref="L13:O14"/>
    <mergeCell ref="B38:D38"/>
    <mergeCell ref="V15:V16"/>
    <mergeCell ref="P13:U14"/>
    <mergeCell ref="AB8:AE8"/>
    <mergeCell ref="X14:Z14"/>
    <mergeCell ref="X15:X16"/>
    <mergeCell ref="Y15:Z16"/>
    <mergeCell ref="AA15:AC16"/>
    <mergeCell ref="AA14:AO14"/>
    <mergeCell ref="X13:AO13"/>
    <mergeCell ref="AD15:AF16"/>
    <mergeCell ref="AG15:AI16"/>
    <mergeCell ref="X4:AA4"/>
    <mergeCell ref="AC4:AD4"/>
    <mergeCell ref="AJ15:AL16"/>
    <mergeCell ref="AM15:AO16"/>
    <mergeCell ref="AF4:AI5"/>
    <mergeCell ref="AF6:AI6"/>
  </mergeCells>
  <hyperlinks>
    <hyperlink ref="B5" location="Instructions!A1" display="Review Instructions (the first tab) and use this simulation sheet to test different expense and enrollment scenarios and see how they affect revenue." xr:uid="{00000000-0004-0000-0100-000000000000}"/>
    <hyperlink ref="B5:C5" location="Instructions!A1" display="Review Instructions (the first tab)." xr:uid="{00000000-0004-0000-0100-000001000000}"/>
    <hyperlink ref="B11" r:id="rId1" xr:uid="{00000000-0004-0000-0100-000002000000}"/>
    <hyperlink ref="J7" r:id="rId2" display="LINK" xr:uid="{00000000-0004-0000-0100-000003000000}"/>
    <hyperlink ref="X25" r:id="rId3" xr:uid="{00000000-0004-0000-0100-000004000000}"/>
  </hyperlinks>
  <printOptions horizontalCentered="1"/>
  <pageMargins left="0" right="0" top="1" bottom="1" header="0.5" footer="0.5"/>
  <pageSetup scale="61" fitToHeight="0" orientation="landscape" r:id="rId4"/>
  <headerFooter alignWithMargins="0">
    <oddHeader>&amp;CUCLA Summer Sessions&amp;R&amp;D</oddHeader>
    <oddFooter>&amp;C&amp;P of &amp;N</oddFooter>
  </headerFooter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</vt:lpstr>
      <vt:lpstr>Revenue Simulation</vt:lpstr>
      <vt:lpstr>cur_year</vt:lpstr>
      <vt:lpstr>overhead_rate</vt:lpstr>
      <vt:lpstr>'Revenue Simulation'!Print_Titles</vt:lpstr>
    </vt:vector>
  </TitlesOfParts>
  <Manager/>
  <Company>UCLA Summer Sessions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Jisoo Kim</dc:creator>
  <cp:keywords/>
  <dc:description/>
  <cp:lastModifiedBy>Comments</cp:lastModifiedBy>
  <cp:lastPrinted>2019-05-09T15:33:21Z</cp:lastPrinted>
  <dcterms:created xsi:type="dcterms:W3CDTF">1998-11-10T14:26:46Z</dcterms:created>
  <dcterms:modified xsi:type="dcterms:W3CDTF">2024-11-09T01:33:20Z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